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ulic\Documents\KATJA\Katja FSB\potres\JAVNI POZIV 2021\MIŠLJENJE GF\"/>
    </mc:Choice>
  </mc:AlternateContent>
  <xr:revisionPtr revIDLastSave="0" documentId="13_ncr:1_{2E7D3911-2CB3-4685-9D1D-90FA48946C4D}" xr6:coauthVersionLast="45" xr6:coauthVersionMax="46" xr10:uidLastSave="{00000000-0000-0000-0000-000000000000}"/>
  <bookViews>
    <workbookView xWindow="-120" yWindow="-120" windowWidth="29040" windowHeight="17640" firstSheet="1" activeTab="5" xr2:uid="{AEE4F223-E15F-4527-96EB-97A33842736C}"/>
  </bookViews>
  <sheets>
    <sheet name="UKUPNO BRP" sheetId="6" r:id="rId1"/>
    <sheet name="ISTOK BRP" sheetId="5" r:id="rId2"/>
    <sheet name="JUG BRP" sheetId="4" r:id="rId3"/>
    <sheet name="SJEVER BRP" sheetId="1" r:id="rId4"/>
    <sheet name="Cijena projekta - sažeto" sheetId="9" r:id="rId5"/>
    <sheet name="troškovnik sjever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6" i="10" l="1"/>
  <c r="K33" i="10"/>
  <c r="I47" i="9" l="1"/>
  <c r="M47" i="9"/>
  <c r="F33" i="9"/>
  <c r="U36" i="9" l="1"/>
  <c r="U30" i="9"/>
  <c r="U34" i="9"/>
  <c r="U38" i="9"/>
  <c r="U37" i="9"/>
  <c r="U35" i="9"/>
  <c r="U32" i="9"/>
  <c r="U31" i="9"/>
  <c r="U29" i="9"/>
  <c r="F30" i="9"/>
  <c r="O29" i="9"/>
  <c r="U33" i="9" l="1"/>
  <c r="Q38" i="9"/>
  <c r="Q37" i="9"/>
  <c r="Q35" i="9"/>
  <c r="Q34" i="9"/>
  <c r="O32" i="9"/>
  <c r="O31" i="9"/>
  <c r="Q33" i="9"/>
  <c r="Q32" i="9"/>
  <c r="Q31" i="9"/>
  <c r="Q30" i="9"/>
  <c r="Q29" i="9"/>
  <c r="O33" i="9" l="1"/>
  <c r="M43" i="9"/>
  <c r="I31" i="9"/>
  <c r="I43" i="9" l="1"/>
  <c r="I38" i="9"/>
  <c r="I37" i="9"/>
  <c r="I35" i="9"/>
  <c r="I34" i="9"/>
  <c r="I33" i="9"/>
  <c r="I32" i="9"/>
  <c r="I30" i="9"/>
  <c r="I29" i="9"/>
  <c r="F29" i="9"/>
  <c r="W25" i="9" l="1"/>
  <c r="T25" i="9"/>
  <c r="G25" i="9"/>
  <c r="L25" i="9" s="1"/>
  <c r="U25" i="9"/>
  <c r="W24" i="9"/>
  <c r="T24" i="9"/>
  <c r="U24" i="9" s="1"/>
  <c r="R24" i="9"/>
  <c r="G24" i="9"/>
  <c r="L24" i="9" s="1"/>
  <c r="P24" i="9"/>
  <c r="B24" i="9"/>
  <c r="B25" i="9" s="1"/>
  <c r="W23" i="9"/>
  <c r="U23" i="9"/>
  <c r="T23" i="9"/>
  <c r="L23" i="9"/>
  <c r="G23" i="9"/>
  <c r="I23" i="9" s="1"/>
  <c r="J23" i="9" s="1"/>
  <c r="R23" i="9"/>
  <c r="R26" i="9" l="1"/>
  <c r="U26" i="9"/>
  <c r="M25" i="9"/>
  <c r="X25" i="9"/>
  <c r="I24" i="9"/>
  <c r="J24" i="9" s="1"/>
  <c r="F25" i="9"/>
  <c r="P25" i="9"/>
  <c r="D26" i="9"/>
  <c r="M23" i="9"/>
  <c r="X23" i="9"/>
  <c r="R25" i="9"/>
  <c r="F23" i="9"/>
  <c r="P23" i="9"/>
  <c r="P26" i="9" s="1"/>
  <c r="I25" i="9"/>
  <c r="J25" i="9" s="1"/>
  <c r="J26" i="9" s="1"/>
  <c r="M24" i="9"/>
  <c r="X24" i="9"/>
  <c r="F24" i="9"/>
  <c r="W10" i="9"/>
  <c r="X10" i="9" s="1"/>
  <c r="W9" i="9"/>
  <c r="X9" i="9" s="1"/>
  <c r="W8" i="9"/>
  <c r="X8" i="9" s="1"/>
  <c r="T9" i="9"/>
  <c r="U9" i="9" s="1"/>
  <c r="T10" i="9"/>
  <c r="U10" i="9" s="1"/>
  <c r="T8" i="9"/>
  <c r="U8" i="9" s="1"/>
  <c r="U11" i="9" s="1"/>
  <c r="G10" i="9"/>
  <c r="I10" i="9" s="1"/>
  <c r="D10" i="9"/>
  <c r="R10" i="9" s="1"/>
  <c r="G9" i="9"/>
  <c r="I9" i="9" s="1"/>
  <c r="D9" i="9"/>
  <c r="R9" i="9" s="1"/>
  <c r="B9" i="9"/>
  <c r="B10" i="9" s="1"/>
  <c r="G8" i="9"/>
  <c r="L8" i="9" s="1"/>
  <c r="D8" i="9"/>
  <c r="M26" i="9" l="1"/>
  <c r="F26" i="9"/>
  <c r="X26" i="9"/>
  <c r="X11" i="9"/>
  <c r="M8" i="9"/>
  <c r="L10" i="9"/>
  <c r="M10" i="9" s="1"/>
  <c r="J10" i="9"/>
  <c r="J9" i="9"/>
  <c r="I8" i="9"/>
  <c r="J8" i="9" s="1"/>
  <c r="L9" i="9"/>
  <c r="M9" i="9" s="1"/>
  <c r="P8" i="9"/>
  <c r="F10" i="9"/>
  <c r="P10" i="9"/>
  <c r="F8" i="9"/>
  <c r="R8" i="9"/>
  <c r="R11" i="9" s="1"/>
  <c r="D11" i="9"/>
  <c r="P9" i="9"/>
  <c r="F9" i="9"/>
  <c r="J11" i="9" l="1"/>
  <c r="P11" i="9"/>
  <c r="F11" i="9"/>
  <c r="M11" i="9"/>
  <c r="B5" i="6" l="1"/>
  <c r="D3" i="5" l="1"/>
  <c r="D7" i="5"/>
  <c r="B16" i="4"/>
  <c r="D16" i="1"/>
  <c r="D15" i="1"/>
  <c r="D13" i="1"/>
  <c r="D11" i="1"/>
  <c r="D9" i="1"/>
  <c r="D3" i="1"/>
  <c r="D19" i="1" s="1"/>
  <c r="D11" i="5" l="1"/>
</calcChain>
</file>

<file path=xl/sharedStrings.xml><?xml version="1.0" encoding="utf-8"?>
<sst xmlns="http://schemas.openxmlformats.org/spreadsheetml/2006/main" count="244" uniqueCount="133">
  <si>
    <t>Po</t>
  </si>
  <si>
    <t>VPr</t>
  </si>
  <si>
    <t>NPr</t>
  </si>
  <si>
    <t>I. kat</t>
  </si>
  <si>
    <t>II. Kat</t>
  </si>
  <si>
    <t>II. kat</t>
  </si>
  <si>
    <t xml:space="preserve">"A" </t>
  </si>
  <si>
    <t>zgrada</t>
  </si>
  <si>
    <t>etaža</t>
  </si>
  <si>
    <t>Pr</t>
  </si>
  <si>
    <t>"B"</t>
  </si>
  <si>
    <t>"B1"</t>
  </si>
  <si>
    <t>"B2"</t>
  </si>
  <si>
    <t>"B3"</t>
  </si>
  <si>
    <t>"D"</t>
  </si>
  <si>
    <t>"C"</t>
  </si>
  <si>
    <t>UKUPNO:</t>
  </si>
  <si>
    <t>BRP (m2)</t>
  </si>
  <si>
    <t>SJEVER</t>
  </si>
  <si>
    <t>JUG</t>
  </si>
  <si>
    <t>III. kat</t>
  </si>
  <si>
    <t>IV. kat</t>
  </si>
  <si>
    <t>V. kat</t>
  </si>
  <si>
    <t>VI. kat</t>
  </si>
  <si>
    <t>VII. kat</t>
  </si>
  <si>
    <t>VIII. kat</t>
  </si>
  <si>
    <t>IX. kat</t>
  </si>
  <si>
    <t>X. kat</t>
  </si>
  <si>
    <t>XI. kat</t>
  </si>
  <si>
    <t>ISTOK</t>
  </si>
  <si>
    <t>"A"</t>
  </si>
  <si>
    <t>kompleks</t>
  </si>
  <si>
    <t>FAKULTET STROJARSTVA I BRODOGRADNJE</t>
  </si>
  <si>
    <t>SVEUČILIŠTE U ZAGREBU</t>
  </si>
  <si>
    <t>Ukupna cijena (kn)</t>
  </si>
  <si>
    <t>Redni broj</t>
  </si>
  <si>
    <t>Naziv dijela građevine</t>
  </si>
  <si>
    <t>KOMPLEKS ISTOK
zgrade ''A'' i ''B 
(Pr+I. kat+II.kat+III.kat)</t>
  </si>
  <si>
    <t>KOMPLEKS SJEVER
zgrade ''A'', ''B1'', B2'', ''C'' i ''D''</t>
  </si>
  <si>
    <r>
      <t>Cijena (kn/m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>)</t>
    </r>
  </si>
  <si>
    <t>1. FAZA - ELABORAT OCJENE POSTOJEĆEG STANJA GRAĐEVINSKE KONSTRUKCIJE</t>
  </si>
  <si>
    <t>2. FAZA - PROJEKT OBNOVE ZGRADE ZA CJELOVITU OBNOVU ZGRADE</t>
  </si>
  <si>
    <t>KOMPLEKS JUG
NPr+ VPr+ XI katova</t>
  </si>
  <si>
    <r>
      <t>Cijena usluge projektiranja prema Programu mjera za BRP &gt; 5.000 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
1,80 % (kn/m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>)</t>
    </r>
  </si>
  <si>
    <t>Izrada elaborata požar</t>
  </si>
  <si>
    <t>Postotak za 1. fazu (%)</t>
  </si>
  <si>
    <t>U cijeni cjelovite obnove uzeto je u obzir projektiranje instalacija</t>
  </si>
  <si>
    <t>Postotak za 2. fazu (%)</t>
  </si>
  <si>
    <t>Izrada elaborata zaštite na radu</t>
  </si>
  <si>
    <t>Revizija projekta</t>
  </si>
  <si>
    <t>Postotak (%)</t>
  </si>
  <si>
    <r>
      <t>BRP (m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>)</t>
    </r>
  </si>
  <si>
    <t>Stručni nadzor</t>
  </si>
  <si>
    <t>Trošak cjelovite obnove zgrade prema Programu mjera (javne zgrade, raz. 3)</t>
  </si>
  <si>
    <t>na razinu 3</t>
  </si>
  <si>
    <t>prof. Lakušić procjena - na razinu 3</t>
  </si>
  <si>
    <t>1% elaborat</t>
  </si>
  <si>
    <t>9 kn/m2</t>
  </si>
  <si>
    <t>0.5% reviz</t>
  </si>
  <si>
    <t>0.7% upravlj</t>
  </si>
  <si>
    <t>0.3% admin</t>
  </si>
  <si>
    <t>0.1% promidž</t>
  </si>
  <si>
    <t>0.1% vidljiv</t>
  </si>
  <si>
    <t>3%nadzor</t>
  </si>
  <si>
    <t>2% ostalo</t>
  </si>
  <si>
    <t>mišljenje</t>
  </si>
  <si>
    <t>gradnja</t>
  </si>
  <si>
    <t>2% projekt</t>
  </si>
  <si>
    <t>jug</t>
  </si>
  <si>
    <t>istok</t>
  </si>
  <si>
    <t>6375 kn/m2</t>
  </si>
  <si>
    <t xml:space="preserve">stavka </t>
  </si>
  <si>
    <t>1.1.</t>
  </si>
  <si>
    <t>1.2.</t>
  </si>
  <si>
    <t>Priprema dokumentacije za nadmetanje</t>
  </si>
  <si>
    <t>Provedba postupka javne nabave i odabir gospodarskog subjekta</t>
  </si>
  <si>
    <t>Izrada projektne i tehničke dokumentacije</t>
  </si>
  <si>
    <t>1.3.</t>
  </si>
  <si>
    <t>1.4.</t>
  </si>
  <si>
    <t xml:space="preserve">1. Priprema projektne dokumentacije iz Grupe 2. prihvatljivih aktivnosti </t>
  </si>
  <si>
    <t xml:space="preserve">2. Aktivnosti iz Grupe 3. prihvatljivih aktivnosti </t>
  </si>
  <si>
    <t>Priprema postupka javne nabave za izvođenje radova</t>
  </si>
  <si>
    <t>Izvedba radova</t>
  </si>
  <si>
    <t>2.1.</t>
  </si>
  <si>
    <t>2.2.</t>
  </si>
  <si>
    <t>2.3.</t>
  </si>
  <si>
    <t>Angažiranje usluga vanjskog stručnjaka za pripremu Prijavnog obrasca 1</t>
  </si>
  <si>
    <t xml:space="preserve">3. Aktivnosti iz Grupe 5. prihvatljivih aktivnosti </t>
  </si>
  <si>
    <t>3.1.</t>
  </si>
  <si>
    <t>3.2.</t>
  </si>
  <si>
    <t xml:space="preserve">4. Aktivnosti iz Grupe 6. prihvatljivih aktivnosti </t>
  </si>
  <si>
    <t>Izrada privremene informacijske ploče</t>
  </si>
  <si>
    <t>Izrada trajne informacijske ploče</t>
  </si>
  <si>
    <t>Izrada naljepnica</t>
  </si>
  <si>
    <t>Organizacija konferencije za medije</t>
  </si>
  <si>
    <t>Izdavanje priopćenja za javnost</t>
  </si>
  <si>
    <t>4.1.</t>
  </si>
  <si>
    <t>4.2.</t>
  </si>
  <si>
    <t>4.3.</t>
  </si>
  <si>
    <t>4.4.</t>
  </si>
  <si>
    <t>4.5.</t>
  </si>
  <si>
    <t>Vizualni pregled konstrukcije, klasifikacija oštećenja prema EMS 98, mišljenje i zaključak</t>
  </si>
  <si>
    <t>Angažirat će se vanjski stručnjak za pripremu dokumentacije za nadmetanje</t>
  </si>
  <si>
    <t>Mišljenje stručnjaka o stanju konstrukcije nakon potresa</t>
  </si>
  <si>
    <t>Definiranje kriterija odabira, pregled i ocjena ponude, odabir, sastavljanje zapisnika</t>
  </si>
  <si>
    <t xml:space="preserve">Angažirat će se vanjski stručnjak za pripremu dokumentacije za nadmetanje </t>
  </si>
  <si>
    <t>Definiranje kriterija odabira, pregled i ocjena ponude,odabir,sastavljanje zapisnika</t>
  </si>
  <si>
    <t>Uvođenje izvođača u posao, izvođenje radova, sudjelovanje na sastancima, primopredaja objekta</t>
  </si>
  <si>
    <t>Angažiranje usluga vanjskog stručnjaka za pripremu Prijavnog obrasca 1 i pripremu projektnog prijedloga</t>
  </si>
  <si>
    <t>Izrada naljepnica u svrhu promidžbe i vidljivosti projekta</t>
  </si>
  <si>
    <t>Organizacija konferencije za medije s ciljem obavijesti javnosti o tijeku provedbe projekta</t>
  </si>
  <si>
    <t xml:space="preserve">Organizacija sastanaka s novinarskim medijima s ciljem oglašavanja projekta </t>
  </si>
  <si>
    <t>Angažiranje usluga vanjskog stručnjaka za administraciju</t>
  </si>
  <si>
    <t>fsb sjever</t>
  </si>
  <si>
    <t>Trošak vezan uz stručni nadzor građenja</t>
  </si>
  <si>
    <t>Troškovi vezani uz sve ostale potrebne nadzore, revidente i koordinatore sukladno postojećoj legislativi, novi energetski certifikat</t>
  </si>
  <si>
    <t>Izrada elaborata postojećeg stanja,</t>
  </si>
  <si>
    <t>Izrada elaborata zaštite na radu i elaborata zaštite od požara</t>
  </si>
  <si>
    <t>Izrada projekata za cjelovitu obnovu : arhitektonski, građevinski, elektro i strojarski, s troškovnicima</t>
  </si>
  <si>
    <t>Revident projektne dokumentacije</t>
  </si>
  <si>
    <t>Nadzori, koordinatori</t>
  </si>
  <si>
    <t>plaćeno</t>
  </si>
  <si>
    <t>9kn/m2</t>
  </si>
  <si>
    <t>m2</t>
  </si>
  <si>
    <r>
      <t xml:space="preserve">13.120,27 </t>
    </r>
    <r>
      <rPr>
        <sz val="11"/>
        <color rgb="FF000000"/>
        <rFont val="Times New Roman"/>
        <family val="1"/>
      </rPr>
      <t xml:space="preserve"> </t>
    </r>
  </si>
  <si>
    <t>2% inv</t>
  </si>
  <si>
    <t>4% inv</t>
  </si>
  <si>
    <t>20% od proj dok</t>
  </si>
  <si>
    <t>0.5% inv</t>
  </si>
  <si>
    <t>0.7% inv</t>
  </si>
  <si>
    <t>trošak</t>
  </si>
  <si>
    <t>1% inv</t>
  </si>
  <si>
    <t>Angažiranje usluga vanjskog stručnjaka za administraciju i tehničku koordinaciju , poslove financijskog upravljanja te usluga vođenje projekta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</si>
</sst>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#,##0.0"/>
    <numFmt numFmtId="165" formatCode="#,##0.00\ &quot;kn&quot;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rgb="FF00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1" fillId="0" borderId="3" xfId="0" applyFont="1" applyBorder="1" applyAlignment="1">
      <alignment horizontal="center" vertical="center"/>
    </xf>
    <xf numFmtId="0" fontId="2" fillId="0" borderId="17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165" fontId="3" fillId="3" borderId="1" xfId="0" applyNumberFormat="1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3" fillId="4" borderId="23" xfId="0" applyFont="1" applyFill="1" applyBorder="1" applyAlignment="1">
      <alignment horizontal="center" vertical="center" wrapText="1"/>
    </xf>
    <xf numFmtId="165" fontId="0" fillId="0" borderId="0" xfId="0" applyNumberFormat="1" applyBorder="1"/>
    <xf numFmtId="0" fontId="0" fillId="5" borderId="26" xfId="0" applyFill="1" applyBorder="1" applyAlignment="1">
      <alignment horizontal="center"/>
    </xf>
    <xf numFmtId="0" fontId="3" fillId="3" borderId="2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5" fontId="3" fillId="4" borderId="23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165" fontId="6" fillId="4" borderId="1" xfId="0" applyNumberFormat="1" applyFont="1" applyFill="1" applyBorder="1" applyAlignment="1">
      <alignment horizontal="center" vertical="center"/>
    </xf>
    <xf numFmtId="0" fontId="0" fillId="6" borderId="0" xfId="0" applyFill="1"/>
    <xf numFmtId="0" fontId="0" fillId="7" borderId="0" xfId="0" applyFill="1"/>
    <xf numFmtId="0" fontId="0" fillId="8" borderId="0" xfId="0" applyFill="1"/>
    <xf numFmtId="165" fontId="3" fillId="4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3" fillId="3" borderId="23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 wrapText="1"/>
    </xf>
    <xf numFmtId="43" fontId="0" fillId="7" borderId="0" xfId="0" applyNumberFormat="1" applyFill="1"/>
    <xf numFmtId="0" fontId="0" fillId="9" borderId="0" xfId="0" applyFill="1"/>
    <xf numFmtId="165" fontId="0" fillId="9" borderId="0" xfId="0" applyNumberFormat="1" applyFill="1"/>
    <xf numFmtId="4" fontId="0" fillId="9" borderId="0" xfId="0" applyNumberFormat="1" applyFill="1"/>
    <xf numFmtId="0" fontId="0" fillId="10" borderId="0" xfId="0" applyFill="1"/>
    <xf numFmtId="43" fontId="0" fillId="10" borderId="0" xfId="0" applyNumberFormat="1" applyFill="1"/>
    <xf numFmtId="4" fontId="0" fillId="10" borderId="0" xfId="0" applyNumberFormat="1" applyFill="1"/>
    <xf numFmtId="43" fontId="0" fillId="0" borderId="0" xfId="0" applyNumberForma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7" fillId="0" borderId="0" xfId="0" applyFont="1" applyAlignment="1">
      <alignment horizontal="left"/>
    </xf>
    <xf numFmtId="1" fontId="7" fillId="0" borderId="0" xfId="0" applyNumberFormat="1" applyFont="1" applyAlignment="1">
      <alignment horizontal="left" vertical="top"/>
    </xf>
    <xf numFmtId="43" fontId="7" fillId="0" borderId="0" xfId="0" applyNumberFormat="1" applyFont="1"/>
    <xf numFmtId="43" fontId="7" fillId="0" borderId="1" xfId="0" applyNumberFormat="1" applyFont="1" applyBorder="1"/>
    <xf numFmtId="0" fontId="9" fillId="0" borderId="0" xfId="0" applyFont="1"/>
    <xf numFmtId="44" fontId="7" fillId="0" borderId="0" xfId="0" applyNumberFormat="1" applyFont="1"/>
    <xf numFmtId="0" fontId="8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43" fontId="7" fillId="0" borderId="0" xfId="0" applyNumberFormat="1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2" fillId="0" borderId="11" xfId="0" applyFont="1" applyBorder="1" applyAlignment="1">
      <alignment horizontal="right" vertical="center"/>
    </xf>
    <xf numFmtId="0" fontId="2" fillId="0" borderId="22" xfId="0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1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9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6" fillId="4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139C5-7757-48ED-B439-82870FF9C311}">
  <dimension ref="A1:B13"/>
  <sheetViews>
    <sheetView workbookViewId="0">
      <selection activeCell="D5" sqref="D5"/>
    </sheetView>
  </sheetViews>
  <sheetFormatPr defaultColWidth="9.140625" defaultRowHeight="15" x14ac:dyDescent="0.2"/>
  <cols>
    <col min="1" max="1" width="16.140625" style="1" customWidth="1"/>
    <col min="2" max="2" width="18" style="1" customWidth="1"/>
    <col min="3" max="16384" width="9.140625" style="1"/>
  </cols>
  <sheetData>
    <row r="1" spans="1:2" ht="20.100000000000001" customHeight="1" x14ac:dyDescent="0.2">
      <c r="A1" s="20" t="s">
        <v>31</v>
      </c>
      <c r="B1" s="22" t="s">
        <v>17</v>
      </c>
    </row>
    <row r="2" spans="1:2" ht="20.100000000000001" customHeight="1" x14ac:dyDescent="0.2">
      <c r="A2" s="20" t="s">
        <v>18</v>
      </c>
      <c r="B2" s="6">
        <v>10399.299999999999</v>
      </c>
    </row>
    <row r="3" spans="1:2" ht="20.100000000000001" customHeight="1" x14ac:dyDescent="0.2">
      <c r="A3" s="20" t="s">
        <v>19</v>
      </c>
      <c r="B3" s="6">
        <v>16992.8</v>
      </c>
    </row>
    <row r="4" spans="1:2" ht="20.100000000000001" customHeight="1" x14ac:dyDescent="0.2">
      <c r="A4" s="20" t="s">
        <v>29</v>
      </c>
      <c r="B4" s="6">
        <v>8605.9</v>
      </c>
    </row>
    <row r="5" spans="1:2" ht="20.100000000000001" customHeight="1" x14ac:dyDescent="0.2">
      <c r="A5" s="21" t="s">
        <v>16</v>
      </c>
      <c r="B5" s="21">
        <f>SUM(B2:B4)</f>
        <v>35998</v>
      </c>
    </row>
    <row r="6" spans="1:2" ht="20.100000000000001" customHeight="1" x14ac:dyDescent="0.2"/>
    <row r="7" spans="1:2" ht="20.100000000000001" customHeight="1" x14ac:dyDescent="0.2"/>
    <row r="8" spans="1:2" ht="20.100000000000001" customHeight="1" x14ac:dyDescent="0.2"/>
    <row r="9" spans="1:2" ht="20.100000000000001" customHeight="1" x14ac:dyDescent="0.2"/>
    <row r="10" spans="1:2" ht="20.100000000000001" customHeight="1" x14ac:dyDescent="0.2"/>
    <row r="11" spans="1:2" ht="20.100000000000001" customHeight="1" x14ac:dyDescent="0.2"/>
    <row r="12" spans="1:2" ht="20.100000000000001" customHeight="1" x14ac:dyDescent="0.2"/>
    <row r="13" spans="1:2" ht="20.100000000000001" customHeight="1" x14ac:dyDescent="0.2"/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988AD-85C4-4004-8660-DCE03F45EF7B}">
  <dimension ref="A1:D19"/>
  <sheetViews>
    <sheetView workbookViewId="0">
      <selection activeCell="A3" sqref="A3:A6"/>
    </sheetView>
  </sheetViews>
  <sheetFormatPr defaultColWidth="9.140625" defaultRowHeight="15" x14ac:dyDescent="0.2"/>
  <cols>
    <col min="1" max="1" width="16.140625" style="1" customWidth="1"/>
    <col min="2" max="2" width="18.7109375" style="1" customWidth="1"/>
    <col min="3" max="3" width="18" style="1" customWidth="1"/>
    <col min="4" max="4" width="20.42578125" style="1" customWidth="1"/>
    <col min="5" max="16384" width="9.140625" style="1"/>
  </cols>
  <sheetData>
    <row r="1" spans="1:4" ht="20.100000000000001" customHeight="1" thickBot="1" x14ac:dyDescent="0.25">
      <c r="A1" s="79" t="s">
        <v>29</v>
      </c>
      <c r="B1" s="80"/>
      <c r="C1" s="80"/>
      <c r="D1" s="81"/>
    </row>
    <row r="2" spans="1:4" ht="20.100000000000001" customHeight="1" thickBot="1" x14ac:dyDescent="0.25">
      <c r="A2" s="2" t="s">
        <v>7</v>
      </c>
      <c r="B2" s="4" t="s">
        <v>8</v>
      </c>
      <c r="C2" s="82" t="s">
        <v>17</v>
      </c>
      <c r="D2" s="83"/>
    </row>
    <row r="3" spans="1:4" ht="20.100000000000001" customHeight="1" x14ac:dyDescent="0.2">
      <c r="A3" s="84" t="s">
        <v>30</v>
      </c>
      <c r="B3" s="6" t="s">
        <v>9</v>
      </c>
      <c r="C3" s="6">
        <v>2068</v>
      </c>
      <c r="D3" s="86">
        <f>SUM(C3:C6)</f>
        <v>6175</v>
      </c>
    </row>
    <row r="4" spans="1:4" ht="20.100000000000001" customHeight="1" x14ac:dyDescent="0.2">
      <c r="A4" s="84"/>
      <c r="B4" s="6" t="s">
        <v>3</v>
      </c>
      <c r="C4" s="6">
        <v>1369</v>
      </c>
      <c r="D4" s="86"/>
    </row>
    <row r="5" spans="1:4" ht="20.100000000000001" customHeight="1" x14ac:dyDescent="0.2">
      <c r="A5" s="84"/>
      <c r="B5" s="6" t="s">
        <v>4</v>
      </c>
      <c r="C5" s="6">
        <v>1369</v>
      </c>
      <c r="D5" s="86"/>
    </row>
    <row r="6" spans="1:4" ht="20.100000000000001" customHeight="1" thickBot="1" x14ac:dyDescent="0.25">
      <c r="A6" s="85"/>
      <c r="B6" s="18" t="s">
        <v>20</v>
      </c>
      <c r="C6" s="18">
        <v>1369</v>
      </c>
      <c r="D6" s="87"/>
    </row>
    <row r="7" spans="1:4" ht="20.100000000000001" customHeight="1" x14ac:dyDescent="0.2">
      <c r="A7" s="88" t="s">
        <v>10</v>
      </c>
      <c r="B7" s="5" t="s">
        <v>9</v>
      </c>
      <c r="C7" s="5">
        <v>846.9</v>
      </c>
      <c r="D7" s="91">
        <f>SUM(C7:C10)</f>
        <v>2430.9</v>
      </c>
    </row>
    <row r="8" spans="1:4" ht="20.100000000000001" customHeight="1" x14ac:dyDescent="0.2">
      <c r="A8" s="89"/>
      <c r="B8" s="6" t="s">
        <v>3</v>
      </c>
      <c r="C8" s="6">
        <v>528</v>
      </c>
      <c r="D8" s="92"/>
    </row>
    <row r="9" spans="1:4" ht="20.100000000000001" customHeight="1" x14ac:dyDescent="0.2">
      <c r="A9" s="89"/>
      <c r="B9" s="6" t="s">
        <v>5</v>
      </c>
      <c r="C9" s="6">
        <v>528</v>
      </c>
      <c r="D9" s="92"/>
    </row>
    <row r="10" spans="1:4" ht="20.100000000000001" customHeight="1" thickBot="1" x14ac:dyDescent="0.25">
      <c r="A10" s="90"/>
      <c r="B10" s="19" t="s">
        <v>20</v>
      </c>
      <c r="C10" s="19">
        <v>528</v>
      </c>
      <c r="D10" s="93"/>
    </row>
    <row r="11" spans="1:4" ht="20.100000000000001" customHeight="1" thickBot="1" x14ac:dyDescent="0.25">
      <c r="A11" s="9" t="s">
        <v>16</v>
      </c>
      <c r="B11" s="8"/>
      <c r="C11" s="4"/>
      <c r="D11" s="10">
        <f>SUM(D3:D10)</f>
        <v>8605.9</v>
      </c>
    </row>
    <row r="12" spans="1:4" ht="20.100000000000001" customHeight="1" x14ac:dyDescent="0.2"/>
    <row r="13" spans="1:4" ht="20.100000000000001" customHeight="1" x14ac:dyDescent="0.2"/>
    <row r="14" spans="1:4" ht="20.100000000000001" customHeight="1" x14ac:dyDescent="0.2"/>
    <row r="15" spans="1:4" ht="20.100000000000001" customHeight="1" x14ac:dyDescent="0.2"/>
    <row r="16" spans="1:4" ht="20.100000000000001" customHeight="1" x14ac:dyDescent="0.2"/>
    <row r="17" ht="20.100000000000001" customHeight="1" x14ac:dyDescent="0.2"/>
    <row r="18" ht="20.100000000000001" customHeight="1" x14ac:dyDescent="0.2"/>
    <row r="19" ht="20.100000000000001" customHeight="1" x14ac:dyDescent="0.2"/>
  </sheetData>
  <mergeCells count="6">
    <mergeCell ref="A1:D1"/>
    <mergeCell ref="C2:D2"/>
    <mergeCell ref="A3:A6"/>
    <mergeCell ref="D3:D6"/>
    <mergeCell ref="A7:A10"/>
    <mergeCell ref="D7:D10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08080-5DE3-4472-8F21-D052E3AEFA5C}">
  <dimension ref="A1:B16"/>
  <sheetViews>
    <sheetView workbookViewId="0">
      <selection activeCell="B4" sqref="B4"/>
    </sheetView>
  </sheetViews>
  <sheetFormatPr defaultColWidth="9.140625" defaultRowHeight="15" x14ac:dyDescent="0.2"/>
  <cols>
    <col min="1" max="1" width="18.7109375" style="1" customWidth="1"/>
    <col min="2" max="2" width="18" style="1" customWidth="1"/>
    <col min="3" max="16384" width="9.140625" style="1"/>
  </cols>
  <sheetData>
    <row r="1" spans="1:2" ht="20.100000000000001" customHeight="1" thickBot="1" x14ac:dyDescent="0.25">
      <c r="A1" s="79" t="s">
        <v>19</v>
      </c>
      <c r="B1" s="94"/>
    </row>
    <row r="2" spans="1:2" ht="20.100000000000001" customHeight="1" thickBot="1" x14ac:dyDescent="0.25">
      <c r="A2" s="9" t="s">
        <v>8</v>
      </c>
      <c r="B2" s="11" t="s">
        <v>17</v>
      </c>
    </row>
    <row r="3" spans="1:2" ht="20.100000000000001" customHeight="1" x14ac:dyDescent="0.2">
      <c r="A3" s="12" t="s">
        <v>2</v>
      </c>
      <c r="B3" s="13">
        <v>5160</v>
      </c>
    </row>
    <row r="4" spans="1:2" ht="20.100000000000001" customHeight="1" x14ac:dyDescent="0.2">
      <c r="A4" s="14" t="s">
        <v>1</v>
      </c>
      <c r="B4" s="15">
        <v>5193</v>
      </c>
    </row>
    <row r="5" spans="1:2" ht="20.100000000000001" customHeight="1" x14ac:dyDescent="0.2">
      <c r="A5" s="14" t="s">
        <v>3</v>
      </c>
      <c r="B5" s="15">
        <v>2326.8000000000002</v>
      </c>
    </row>
    <row r="6" spans="1:2" ht="20.100000000000001" customHeight="1" x14ac:dyDescent="0.2">
      <c r="A6" s="14" t="s">
        <v>4</v>
      </c>
      <c r="B6" s="15">
        <v>476.3</v>
      </c>
    </row>
    <row r="7" spans="1:2" ht="20.100000000000001" customHeight="1" x14ac:dyDescent="0.2">
      <c r="A7" s="14" t="s">
        <v>20</v>
      </c>
      <c r="B7" s="15">
        <v>476.3</v>
      </c>
    </row>
    <row r="8" spans="1:2" ht="20.100000000000001" customHeight="1" x14ac:dyDescent="0.2">
      <c r="A8" s="14" t="s">
        <v>21</v>
      </c>
      <c r="B8" s="15">
        <v>476.3</v>
      </c>
    </row>
    <row r="9" spans="1:2" ht="20.100000000000001" customHeight="1" x14ac:dyDescent="0.2">
      <c r="A9" s="14" t="s">
        <v>22</v>
      </c>
      <c r="B9" s="15">
        <v>476.3</v>
      </c>
    </row>
    <row r="10" spans="1:2" ht="20.100000000000001" customHeight="1" x14ac:dyDescent="0.2">
      <c r="A10" s="14" t="s">
        <v>23</v>
      </c>
      <c r="B10" s="15">
        <v>476.3</v>
      </c>
    </row>
    <row r="11" spans="1:2" ht="20.100000000000001" customHeight="1" x14ac:dyDescent="0.2">
      <c r="A11" s="14" t="s">
        <v>24</v>
      </c>
      <c r="B11" s="15">
        <v>476.3</v>
      </c>
    </row>
    <row r="12" spans="1:2" ht="20.100000000000001" customHeight="1" x14ac:dyDescent="0.2">
      <c r="A12" s="14" t="s">
        <v>25</v>
      </c>
      <c r="B12" s="15">
        <v>476.3</v>
      </c>
    </row>
    <row r="13" spans="1:2" ht="20.100000000000001" customHeight="1" x14ac:dyDescent="0.2">
      <c r="A13" s="14" t="s">
        <v>26</v>
      </c>
      <c r="B13" s="15">
        <v>476.3</v>
      </c>
    </row>
    <row r="14" spans="1:2" ht="20.100000000000001" customHeight="1" x14ac:dyDescent="0.2">
      <c r="A14" s="14" t="s">
        <v>27</v>
      </c>
      <c r="B14" s="15">
        <v>476.3</v>
      </c>
    </row>
    <row r="15" spans="1:2" ht="20.100000000000001" customHeight="1" thickBot="1" x14ac:dyDescent="0.25">
      <c r="A15" s="16" t="s">
        <v>28</v>
      </c>
      <c r="B15" s="17">
        <v>26.3</v>
      </c>
    </row>
    <row r="16" spans="1:2" ht="20.100000000000001" customHeight="1" thickBot="1" x14ac:dyDescent="0.25">
      <c r="A16" s="9" t="s">
        <v>16</v>
      </c>
      <c r="B16" s="10">
        <f>SUM(B3:B15)</f>
        <v>16992.799999999992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43544-9EB0-4F46-8025-E2B8C444DDEA}">
  <dimension ref="A1:D19"/>
  <sheetViews>
    <sheetView workbookViewId="0">
      <selection activeCell="G28" sqref="G28"/>
    </sheetView>
  </sheetViews>
  <sheetFormatPr defaultColWidth="9.140625" defaultRowHeight="15" x14ac:dyDescent="0.2"/>
  <cols>
    <col min="1" max="1" width="16.140625" style="1" customWidth="1"/>
    <col min="2" max="2" width="18.7109375" style="1" customWidth="1"/>
    <col min="3" max="3" width="18" style="1" customWidth="1"/>
    <col min="4" max="4" width="20.42578125" style="1" customWidth="1"/>
    <col min="5" max="16384" width="9.140625" style="1"/>
  </cols>
  <sheetData>
    <row r="1" spans="1:4" ht="20.100000000000001" customHeight="1" thickBot="1" x14ac:dyDescent="0.25">
      <c r="A1" s="79" t="s">
        <v>18</v>
      </c>
      <c r="B1" s="95"/>
      <c r="C1" s="95"/>
      <c r="D1" s="94"/>
    </row>
    <row r="2" spans="1:4" ht="20.100000000000001" customHeight="1" thickBot="1" x14ac:dyDescent="0.25">
      <c r="A2" s="2" t="s">
        <v>7</v>
      </c>
      <c r="B2" s="4" t="s">
        <v>8</v>
      </c>
      <c r="C2" s="82" t="s">
        <v>17</v>
      </c>
      <c r="D2" s="83"/>
    </row>
    <row r="3" spans="1:4" ht="20.100000000000001" customHeight="1" x14ac:dyDescent="0.2">
      <c r="A3" s="88" t="s">
        <v>6</v>
      </c>
      <c r="B3" s="5" t="s">
        <v>0</v>
      </c>
      <c r="C3" s="5">
        <v>98.5</v>
      </c>
      <c r="D3" s="96">
        <f>SUM(C3:C8)</f>
        <v>4003.4</v>
      </c>
    </row>
    <row r="4" spans="1:4" ht="20.100000000000001" customHeight="1" x14ac:dyDescent="0.2">
      <c r="A4" s="84"/>
      <c r="B4" s="6" t="s">
        <v>2</v>
      </c>
      <c r="C4" s="6">
        <v>650.5</v>
      </c>
      <c r="D4" s="86"/>
    </row>
    <row r="5" spans="1:4" ht="20.100000000000001" customHeight="1" x14ac:dyDescent="0.2">
      <c r="A5" s="84"/>
      <c r="B5" s="6" t="s">
        <v>1</v>
      </c>
      <c r="C5" s="6">
        <v>942.5</v>
      </c>
      <c r="D5" s="86"/>
    </row>
    <row r="6" spans="1:4" ht="20.100000000000001" customHeight="1" x14ac:dyDescent="0.2">
      <c r="A6" s="84"/>
      <c r="B6" s="6" t="s">
        <v>3</v>
      </c>
      <c r="C6" s="6">
        <v>942.5</v>
      </c>
      <c r="D6" s="86"/>
    </row>
    <row r="7" spans="1:4" ht="20.100000000000001" customHeight="1" x14ac:dyDescent="0.2">
      <c r="A7" s="84"/>
      <c r="B7" s="6" t="s">
        <v>4</v>
      </c>
      <c r="C7" s="6">
        <v>942.5</v>
      </c>
      <c r="D7" s="86"/>
    </row>
    <row r="8" spans="1:4" ht="20.100000000000001" customHeight="1" thickBot="1" x14ac:dyDescent="0.25">
      <c r="A8" s="90"/>
      <c r="B8" s="7" t="s">
        <v>20</v>
      </c>
      <c r="C8" s="7">
        <v>426.9</v>
      </c>
      <c r="D8" s="97"/>
    </row>
    <row r="9" spans="1:4" ht="20.100000000000001" customHeight="1" x14ac:dyDescent="0.2">
      <c r="A9" s="88" t="s">
        <v>11</v>
      </c>
      <c r="B9" s="5" t="s">
        <v>9</v>
      </c>
      <c r="C9" s="5">
        <v>887.3</v>
      </c>
      <c r="D9" s="91">
        <f>SUM(C9:C10)</f>
        <v>1673</v>
      </c>
    </row>
    <row r="10" spans="1:4" ht="20.100000000000001" customHeight="1" thickBot="1" x14ac:dyDescent="0.25">
      <c r="A10" s="90"/>
      <c r="B10" s="7" t="s">
        <v>3</v>
      </c>
      <c r="C10" s="7">
        <v>785.7</v>
      </c>
      <c r="D10" s="93"/>
    </row>
    <row r="11" spans="1:4" ht="20.100000000000001" customHeight="1" x14ac:dyDescent="0.2">
      <c r="A11" s="88" t="s">
        <v>12</v>
      </c>
      <c r="B11" s="5" t="s">
        <v>9</v>
      </c>
      <c r="C11" s="5">
        <v>746.5</v>
      </c>
      <c r="D11" s="91">
        <f>SUM(C11:C12)</f>
        <v>1391.5</v>
      </c>
    </row>
    <row r="12" spans="1:4" ht="20.100000000000001" customHeight="1" thickBot="1" x14ac:dyDescent="0.25">
      <c r="A12" s="90"/>
      <c r="B12" s="7" t="s">
        <v>3</v>
      </c>
      <c r="C12" s="7">
        <v>645</v>
      </c>
      <c r="D12" s="93"/>
    </row>
    <row r="13" spans="1:4" ht="20.100000000000001" customHeight="1" x14ac:dyDescent="0.2">
      <c r="A13" s="88" t="s">
        <v>13</v>
      </c>
      <c r="B13" s="5" t="s">
        <v>9</v>
      </c>
      <c r="C13" s="5">
        <v>746.5</v>
      </c>
      <c r="D13" s="91">
        <f>SUM(C13:C14)</f>
        <v>1391.5</v>
      </c>
    </row>
    <row r="14" spans="1:4" ht="20.100000000000001" customHeight="1" thickBot="1" x14ac:dyDescent="0.25">
      <c r="A14" s="90"/>
      <c r="B14" s="7" t="s">
        <v>3</v>
      </c>
      <c r="C14" s="7">
        <v>645</v>
      </c>
      <c r="D14" s="93"/>
    </row>
    <row r="15" spans="1:4" ht="20.100000000000001" customHeight="1" thickBot="1" x14ac:dyDescent="0.25">
      <c r="A15" s="2" t="s">
        <v>15</v>
      </c>
      <c r="B15" s="8" t="s">
        <v>9</v>
      </c>
      <c r="C15" s="8">
        <v>637.29999999999995</v>
      </c>
      <c r="D15" s="3">
        <f>SUM(C15)</f>
        <v>637.29999999999995</v>
      </c>
    </row>
    <row r="16" spans="1:4" ht="20.100000000000001" customHeight="1" x14ac:dyDescent="0.2">
      <c r="A16" s="88" t="s">
        <v>14</v>
      </c>
      <c r="B16" s="5" t="s">
        <v>2</v>
      </c>
      <c r="C16" s="5">
        <v>380.2</v>
      </c>
      <c r="D16" s="91">
        <f>SUM(C16:C18)</f>
        <v>1302.5999999999999</v>
      </c>
    </row>
    <row r="17" spans="1:4" ht="20.100000000000001" customHeight="1" x14ac:dyDescent="0.2">
      <c r="A17" s="84"/>
      <c r="B17" s="6" t="s">
        <v>1</v>
      </c>
      <c r="C17" s="6">
        <v>517</v>
      </c>
      <c r="D17" s="92"/>
    </row>
    <row r="18" spans="1:4" ht="20.100000000000001" customHeight="1" thickBot="1" x14ac:dyDescent="0.25">
      <c r="A18" s="90"/>
      <c r="B18" s="7" t="s">
        <v>3</v>
      </c>
      <c r="C18" s="7">
        <v>405.4</v>
      </c>
      <c r="D18" s="93"/>
    </row>
    <row r="19" spans="1:4" ht="20.100000000000001" customHeight="1" thickBot="1" x14ac:dyDescent="0.25">
      <c r="A19" s="9" t="s">
        <v>16</v>
      </c>
      <c r="B19" s="8"/>
      <c r="C19" s="4"/>
      <c r="D19" s="10">
        <f>SUM(D3:D18)</f>
        <v>10399.299999999999</v>
      </c>
    </row>
  </sheetData>
  <mergeCells count="12">
    <mergeCell ref="D16:D18"/>
    <mergeCell ref="A3:A8"/>
    <mergeCell ref="A9:A10"/>
    <mergeCell ref="A11:A12"/>
    <mergeCell ref="A13:A14"/>
    <mergeCell ref="A16:A18"/>
    <mergeCell ref="A1:D1"/>
    <mergeCell ref="D3:D8"/>
    <mergeCell ref="D9:D10"/>
    <mergeCell ref="D11:D12"/>
    <mergeCell ref="D13:D14"/>
    <mergeCell ref="C2:D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189D0-B8F9-4A63-B331-E1A6C0CC374B}">
  <dimension ref="B3:X47"/>
  <sheetViews>
    <sheetView topLeftCell="B16" zoomScale="85" zoomScaleNormal="85" workbookViewId="0">
      <selection activeCell="G23" sqref="G23"/>
    </sheetView>
  </sheetViews>
  <sheetFormatPr defaultRowHeight="15" x14ac:dyDescent="0.25"/>
  <cols>
    <col min="3" max="3" width="24" customWidth="1"/>
    <col min="4" max="4" width="13.28515625" customWidth="1"/>
    <col min="5" max="5" width="14.42578125" customWidth="1"/>
    <col min="6" max="6" width="21.5703125" customWidth="1"/>
    <col min="7" max="7" width="13.7109375" customWidth="1"/>
    <col min="8" max="8" width="11.5703125" customWidth="1"/>
    <col min="9" max="9" width="15.5703125" customWidth="1"/>
    <col min="10" max="10" width="16.85546875" customWidth="1"/>
    <col min="11" max="11" width="9.140625" customWidth="1"/>
    <col min="12" max="12" width="9.42578125" customWidth="1"/>
    <col min="13" max="13" width="17.85546875" customWidth="1"/>
    <col min="15" max="15" width="16.5703125" bestFit="1" customWidth="1"/>
    <col min="16" max="16" width="16" customWidth="1"/>
    <col min="17" max="17" width="14.140625" customWidth="1"/>
    <col min="18" max="18" width="12.85546875" customWidth="1"/>
    <col min="19" max="19" width="15.5703125" customWidth="1"/>
    <col min="20" max="20" width="9" customWidth="1"/>
    <col min="21" max="21" width="17" customWidth="1"/>
    <col min="23" max="23" width="10.140625" customWidth="1"/>
    <col min="24" max="24" width="17" customWidth="1"/>
  </cols>
  <sheetData>
    <row r="3" spans="2:24" ht="23.25" x14ac:dyDescent="0.35">
      <c r="B3" s="29" t="s">
        <v>33</v>
      </c>
    </row>
    <row r="4" spans="2:24" ht="23.25" x14ac:dyDescent="0.35">
      <c r="B4" s="29" t="s">
        <v>32</v>
      </c>
    </row>
    <row r="6" spans="2:24" s="23" customFormat="1" ht="63.75" customHeight="1" x14ac:dyDescent="0.25">
      <c r="B6" s="105" t="s">
        <v>35</v>
      </c>
      <c r="C6" s="106" t="s">
        <v>36</v>
      </c>
      <c r="D6" s="101" t="s">
        <v>51</v>
      </c>
      <c r="E6" s="107" t="s">
        <v>53</v>
      </c>
      <c r="F6" s="107"/>
      <c r="G6" s="105" t="s">
        <v>43</v>
      </c>
      <c r="H6" s="102" t="s">
        <v>40</v>
      </c>
      <c r="I6" s="103"/>
      <c r="J6" s="104"/>
      <c r="K6" s="98" t="s">
        <v>41</v>
      </c>
      <c r="L6" s="99"/>
      <c r="M6" s="100"/>
      <c r="N6" s="47"/>
      <c r="O6" s="102" t="s">
        <v>48</v>
      </c>
      <c r="P6" s="103"/>
      <c r="Q6" s="98" t="s">
        <v>44</v>
      </c>
      <c r="R6" s="100"/>
      <c r="S6" s="102" t="s">
        <v>49</v>
      </c>
      <c r="T6" s="103"/>
      <c r="U6" s="104"/>
      <c r="V6" s="98" t="s">
        <v>52</v>
      </c>
      <c r="W6" s="99"/>
      <c r="X6" s="100"/>
    </row>
    <row r="7" spans="2:24" s="25" customFormat="1" ht="39" customHeight="1" x14ac:dyDescent="0.25">
      <c r="B7" s="105"/>
      <c r="C7" s="106"/>
      <c r="D7" s="101"/>
      <c r="E7" s="32" t="s">
        <v>39</v>
      </c>
      <c r="F7" s="48" t="s">
        <v>34</v>
      </c>
      <c r="G7" s="105"/>
      <c r="H7" s="31" t="s">
        <v>45</v>
      </c>
      <c r="I7" s="31" t="s">
        <v>39</v>
      </c>
      <c r="J7" s="31" t="s">
        <v>34</v>
      </c>
      <c r="K7" s="30" t="s">
        <v>47</v>
      </c>
      <c r="L7" s="30" t="s">
        <v>39</v>
      </c>
      <c r="M7" s="30" t="s">
        <v>34</v>
      </c>
      <c r="O7" s="31" t="s">
        <v>39</v>
      </c>
      <c r="P7" s="31" t="s">
        <v>34</v>
      </c>
      <c r="Q7" s="30" t="s">
        <v>39</v>
      </c>
      <c r="R7" s="30" t="s">
        <v>34</v>
      </c>
      <c r="S7" s="31" t="s">
        <v>50</v>
      </c>
      <c r="T7" s="31" t="s">
        <v>39</v>
      </c>
      <c r="U7" s="31" t="s">
        <v>34</v>
      </c>
      <c r="V7" s="30" t="s">
        <v>50</v>
      </c>
      <c r="W7" s="30" t="s">
        <v>39</v>
      </c>
      <c r="X7" s="30" t="s">
        <v>34</v>
      </c>
    </row>
    <row r="8" spans="2:24" s="25" customFormat="1" ht="52.5" customHeight="1" x14ac:dyDescent="0.25">
      <c r="B8" s="48">
        <v>1</v>
      </c>
      <c r="C8" s="38" t="s">
        <v>42</v>
      </c>
      <c r="D8" s="49">
        <f>'JUG BRP'!B16</f>
        <v>16992.799999999992</v>
      </c>
      <c r="E8" s="28">
        <v>6375</v>
      </c>
      <c r="F8" s="28">
        <f>D8*E8</f>
        <v>108329099.99999996</v>
      </c>
      <c r="G8" s="28">
        <f>E8*1.8/100</f>
        <v>114.75</v>
      </c>
      <c r="H8" s="50">
        <v>55</v>
      </c>
      <c r="I8" s="26">
        <f>(H8/100)*$G8</f>
        <v>63.112500000000004</v>
      </c>
      <c r="J8" s="26">
        <f>$D8*I8</f>
        <v>1072458.0899999996</v>
      </c>
      <c r="K8" s="34">
        <v>45</v>
      </c>
      <c r="L8" s="39">
        <f>(K8/100)*$G8</f>
        <v>51.637500000000003</v>
      </c>
      <c r="M8" s="46">
        <f>$D8*L8</f>
        <v>877465.70999999961</v>
      </c>
      <c r="O8" s="26">
        <v>4</v>
      </c>
      <c r="P8" s="26">
        <f>O8*$D8</f>
        <v>67971.199999999968</v>
      </c>
      <c r="Q8" s="27">
        <v>5</v>
      </c>
      <c r="R8" s="27">
        <f>Q8*$D8</f>
        <v>84963.999999999956</v>
      </c>
      <c r="S8" s="37">
        <v>0.5</v>
      </c>
      <c r="T8" s="53">
        <f>(S8/100)*$E8</f>
        <v>31.875</v>
      </c>
      <c r="U8" s="54">
        <f>$D8*T8</f>
        <v>541645.49999999977</v>
      </c>
      <c r="V8" s="34">
        <v>3</v>
      </c>
      <c r="W8" s="39">
        <f>(V8/100)*$E8</f>
        <v>191.25</v>
      </c>
      <c r="X8" s="46">
        <f>$D8*W8</f>
        <v>3249872.9999999986</v>
      </c>
    </row>
    <row r="9" spans="2:24" s="25" customFormat="1" ht="65.25" customHeight="1" x14ac:dyDescent="0.25">
      <c r="B9" s="48">
        <f>B8+1</f>
        <v>2</v>
      </c>
      <c r="C9" s="38" t="s">
        <v>37</v>
      </c>
      <c r="D9" s="49">
        <f>'ISTOK BRP'!D11</f>
        <v>8605.9</v>
      </c>
      <c r="E9" s="28">
        <v>6375</v>
      </c>
      <c r="F9" s="28">
        <f t="shared" ref="F9:F10" si="0">D9*E9</f>
        <v>54862612.5</v>
      </c>
      <c r="G9" s="28">
        <f t="shared" ref="G9:G10" si="1">E9*1.8/100</f>
        <v>114.75</v>
      </c>
      <c r="H9" s="50">
        <v>55</v>
      </c>
      <c r="I9" s="26">
        <f t="shared" ref="I9:I10" si="2">(H9/100)*G9</f>
        <v>63.112500000000004</v>
      </c>
      <c r="J9" s="26">
        <f t="shared" ref="J9:J10" si="3">$D9*I9</f>
        <v>543139.86375000002</v>
      </c>
      <c r="K9" s="34">
        <v>45</v>
      </c>
      <c r="L9" s="39">
        <f t="shared" ref="L9:L10" si="4">(K9/100)*$G9</f>
        <v>51.637500000000003</v>
      </c>
      <c r="M9" s="46">
        <f t="shared" ref="M9:M10" si="5">$D9*L9</f>
        <v>444387.16125</v>
      </c>
      <c r="O9" s="26">
        <v>4</v>
      </c>
      <c r="P9" s="26">
        <f t="shared" ref="P9:R10" si="6">O9*$D9</f>
        <v>34423.599999999999</v>
      </c>
      <c r="Q9" s="27">
        <v>5</v>
      </c>
      <c r="R9" s="27">
        <f t="shared" si="6"/>
        <v>43029.5</v>
      </c>
      <c r="S9" s="37">
        <v>0.5</v>
      </c>
      <c r="T9" s="53">
        <f t="shared" ref="T9:T10" si="7">(S9/100)*$E9</f>
        <v>31.875</v>
      </c>
      <c r="U9" s="54">
        <f t="shared" ref="U9:U10" si="8">$D9*T9</f>
        <v>274313.0625</v>
      </c>
      <c r="V9" s="34">
        <v>3</v>
      </c>
      <c r="W9" s="39">
        <f t="shared" ref="W9:W10" si="9">(V9/100)*$E9</f>
        <v>191.25</v>
      </c>
      <c r="X9" s="46">
        <f t="shared" ref="X9:X10" si="10">$D9*W9</f>
        <v>1645878.375</v>
      </c>
    </row>
    <row r="10" spans="2:24" s="25" customFormat="1" ht="61.5" customHeight="1" x14ac:dyDescent="0.25">
      <c r="B10" s="48">
        <f>B9+1</f>
        <v>3</v>
      </c>
      <c r="C10" s="38" t="s">
        <v>38</v>
      </c>
      <c r="D10" s="49">
        <f>'SJEVER BRP'!D19</f>
        <v>10399.299999999999</v>
      </c>
      <c r="E10" s="28">
        <v>6375</v>
      </c>
      <c r="F10" s="28">
        <f t="shared" si="0"/>
        <v>66295537.499999993</v>
      </c>
      <c r="G10" s="28">
        <f t="shared" si="1"/>
        <v>114.75</v>
      </c>
      <c r="H10" s="50">
        <v>55</v>
      </c>
      <c r="I10" s="26">
        <f t="shared" si="2"/>
        <v>63.112500000000004</v>
      </c>
      <c r="J10" s="26">
        <f t="shared" si="3"/>
        <v>656325.82125000004</v>
      </c>
      <c r="K10" s="34">
        <v>45</v>
      </c>
      <c r="L10" s="39">
        <f t="shared" si="4"/>
        <v>51.637500000000003</v>
      </c>
      <c r="M10" s="46">
        <f t="shared" si="5"/>
        <v>536993.85375000001</v>
      </c>
      <c r="O10" s="26">
        <v>4</v>
      </c>
      <c r="P10" s="26">
        <f t="shared" si="6"/>
        <v>41597.199999999997</v>
      </c>
      <c r="Q10" s="27">
        <v>5</v>
      </c>
      <c r="R10" s="27">
        <f t="shared" si="6"/>
        <v>51996.5</v>
      </c>
      <c r="S10" s="37">
        <v>0.5</v>
      </c>
      <c r="T10" s="53">
        <f t="shared" si="7"/>
        <v>31.875</v>
      </c>
      <c r="U10" s="54">
        <f t="shared" si="8"/>
        <v>331477.6875</v>
      </c>
      <c r="V10" s="34">
        <v>3</v>
      </c>
      <c r="W10" s="39">
        <f t="shared" si="9"/>
        <v>191.25</v>
      </c>
      <c r="X10" s="46">
        <f t="shared" si="10"/>
        <v>1988866.1249999998</v>
      </c>
    </row>
    <row r="11" spans="2:24" s="24" customFormat="1" ht="29.25" customHeight="1" x14ac:dyDescent="0.25">
      <c r="B11" s="101" t="s">
        <v>16</v>
      </c>
      <c r="C11" s="101"/>
      <c r="D11" s="49">
        <f>SUM(D8:D10)</f>
        <v>35997.999999999985</v>
      </c>
      <c r="E11" s="51"/>
      <c r="F11" s="40">
        <f t="shared" ref="F11" si="11">SUM(F8:F10)</f>
        <v>229487249.99999994</v>
      </c>
      <c r="G11" s="52"/>
      <c r="H11" s="52"/>
      <c r="I11" s="52"/>
      <c r="J11" s="41">
        <f>SUM(J8:J10)</f>
        <v>2271923.7749999994</v>
      </c>
      <c r="K11" s="52"/>
      <c r="L11" s="52"/>
      <c r="M11" s="42">
        <f t="shared" ref="M11" si="12">SUM(M8:M10)</f>
        <v>1858846.7249999996</v>
      </c>
      <c r="O11" s="52"/>
      <c r="P11" s="41">
        <f t="shared" ref="P11" si="13">SUM(P8:P10)</f>
        <v>143991.99999999994</v>
      </c>
      <c r="Q11" s="52"/>
      <c r="R11" s="42">
        <f t="shared" ref="R11" si="14">SUM(R8:R10)</f>
        <v>179989.99999999994</v>
      </c>
      <c r="S11" s="52"/>
      <c r="T11" s="52"/>
      <c r="U11" s="41">
        <f>SUM(U8:U10)</f>
        <v>1147436.2499999998</v>
      </c>
      <c r="V11" s="52"/>
      <c r="W11" s="52"/>
      <c r="X11" s="42">
        <f>SUM(X8:X10)</f>
        <v>6884617.4999999981</v>
      </c>
    </row>
    <row r="12" spans="2:24" x14ac:dyDescent="0.25">
      <c r="I12" s="108"/>
      <c r="J12" s="108"/>
      <c r="K12" s="36"/>
      <c r="L12" s="108"/>
      <c r="M12" s="108"/>
    </row>
    <row r="13" spans="2:24" x14ac:dyDescent="0.25">
      <c r="I13" s="33"/>
      <c r="J13" s="35"/>
      <c r="K13" t="s">
        <v>46</v>
      </c>
    </row>
    <row r="14" spans="2:24" x14ac:dyDescent="0.25">
      <c r="C14" s="43">
        <v>3213.25</v>
      </c>
      <c r="D14" t="s">
        <v>54</v>
      </c>
    </row>
    <row r="15" spans="2:24" x14ac:dyDescent="0.25">
      <c r="C15" s="44">
        <v>3424.45</v>
      </c>
      <c r="D15" t="s">
        <v>54</v>
      </c>
    </row>
    <row r="16" spans="2:24" x14ac:dyDescent="0.25">
      <c r="C16" s="45">
        <v>3952.45</v>
      </c>
      <c r="D16" t="s">
        <v>54</v>
      </c>
    </row>
    <row r="18" spans="2:24" x14ac:dyDescent="0.25">
      <c r="C18">
        <v>6375</v>
      </c>
      <c r="D18" t="s">
        <v>55</v>
      </c>
    </row>
    <row r="21" spans="2:24" ht="15.75" x14ac:dyDescent="0.25">
      <c r="B21" s="105" t="s">
        <v>35</v>
      </c>
      <c r="C21" s="106" t="s">
        <v>36</v>
      </c>
      <c r="D21" s="101" t="s">
        <v>51</v>
      </c>
      <c r="E21" s="107" t="s">
        <v>53</v>
      </c>
      <c r="F21" s="107"/>
      <c r="G21" s="105" t="s">
        <v>43</v>
      </c>
      <c r="H21" s="102" t="s">
        <v>40</v>
      </c>
      <c r="I21" s="103"/>
      <c r="J21" s="104"/>
      <c r="K21" s="98" t="s">
        <v>41</v>
      </c>
      <c r="L21" s="99"/>
      <c r="M21" s="100"/>
      <c r="N21" s="47"/>
      <c r="O21" s="102" t="s">
        <v>48</v>
      </c>
      <c r="P21" s="103"/>
      <c r="Q21" s="98" t="s">
        <v>44</v>
      </c>
      <c r="R21" s="100"/>
      <c r="S21" s="102" t="s">
        <v>49</v>
      </c>
      <c r="T21" s="103"/>
      <c r="U21" s="104"/>
      <c r="V21" s="98" t="s">
        <v>52</v>
      </c>
      <c r="W21" s="99"/>
      <c r="X21" s="100"/>
    </row>
    <row r="22" spans="2:24" ht="47.25" x14ac:dyDescent="0.25">
      <c r="B22" s="105"/>
      <c r="C22" s="106"/>
      <c r="D22" s="101"/>
      <c r="E22" s="56" t="s">
        <v>39</v>
      </c>
      <c r="F22" s="55" t="s">
        <v>34</v>
      </c>
      <c r="G22" s="105"/>
      <c r="H22" s="31" t="s">
        <v>45</v>
      </c>
      <c r="I22" s="31" t="s">
        <v>39</v>
      </c>
      <c r="J22" s="31" t="s">
        <v>34</v>
      </c>
      <c r="K22" s="30" t="s">
        <v>47</v>
      </c>
      <c r="L22" s="30" t="s">
        <v>39</v>
      </c>
      <c r="M22" s="30" t="s">
        <v>34</v>
      </c>
      <c r="N22" s="25"/>
      <c r="O22" s="31" t="s">
        <v>39</v>
      </c>
      <c r="P22" s="31" t="s">
        <v>34</v>
      </c>
      <c r="Q22" s="30" t="s">
        <v>39</v>
      </c>
      <c r="R22" s="30" t="s">
        <v>34</v>
      </c>
      <c r="S22" s="31" t="s">
        <v>50</v>
      </c>
      <c r="T22" s="31" t="s">
        <v>39</v>
      </c>
      <c r="U22" s="31" t="s">
        <v>34</v>
      </c>
      <c r="V22" s="30" t="s">
        <v>50</v>
      </c>
      <c r="W22" s="30" t="s">
        <v>39</v>
      </c>
      <c r="X22" s="30" t="s">
        <v>34</v>
      </c>
    </row>
    <row r="23" spans="2:24" ht="31.5" x14ac:dyDescent="0.25">
      <c r="B23" s="55">
        <v>1</v>
      </c>
      <c r="C23" s="38" t="s">
        <v>42</v>
      </c>
      <c r="D23" s="49">
        <v>17011.5</v>
      </c>
      <c r="E23" s="28">
        <v>6375</v>
      </c>
      <c r="F23" s="28">
        <f>D23*E23</f>
        <v>108448312.5</v>
      </c>
      <c r="G23" s="28">
        <f>E23*1.8/100</f>
        <v>114.75</v>
      </c>
      <c r="H23" s="50">
        <v>55</v>
      </c>
      <c r="I23" s="26">
        <f>(H23/100)*$G23</f>
        <v>63.112500000000004</v>
      </c>
      <c r="J23" s="26">
        <f>$D23*I23</f>
        <v>1073638.2937500002</v>
      </c>
      <c r="K23" s="34">
        <v>45</v>
      </c>
      <c r="L23" s="39">
        <f>(K23/100)*$G23</f>
        <v>51.637500000000003</v>
      </c>
      <c r="M23" s="46">
        <f>$D23*L23</f>
        <v>878431.33125000005</v>
      </c>
      <c r="N23" s="25"/>
      <c r="O23" s="26">
        <v>4</v>
      </c>
      <c r="P23" s="26">
        <f>O23*$D23</f>
        <v>68046</v>
      </c>
      <c r="Q23" s="27">
        <v>5</v>
      </c>
      <c r="R23" s="27">
        <f>Q23*$D23</f>
        <v>85057.5</v>
      </c>
      <c r="S23" s="37">
        <v>0.5</v>
      </c>
      <c r="T23" s="53">
        <f>(S23/100)*$E23</f>
        <v>31.875</v>
      </c>
      <c r="U23" s="54">
        <f>$D23*T23</f>
        <v>542241.5625</v>
      </c>
      <c r="V23" s="34">
        <v>3</v>
      </c>
      <c r="W23" s="39">
        <f>(V23/100)*$E23</f>
        <v>191.25</v>
      </c>
      <c r="X23" s="46">
        <f>$D23*W23</f>
        <v>3253449.375</v>
      </c>
    </row>
    <row r="24" spans="2:24" ht="47.25" x14ac:dyDescent="0.25">
      <c r="B24" s="55">
        <f>B23+1</f>
        <v>2</v>
      </c>
      <c r="C24" s="38" t="s">
        <v>37</v>
      </c>
      <c r="D24" s="49">
        <v>8640.48</v>
      </c>
      <c r="E24" s="28">
        <v>6375</v>
      </c>
      <c r="F24" s="28">
        <f t="shared" ref="F24:F25" si="15">D24*E24</f>
        <v>55083060</v>
      </c>
      <c r="G24" s="28">
        <f t="shared" ref="G24:G25" si="16">E24*1.8/100</f>
        <v>114.75</v>
      </c>
      <c r="H24" s="50">
        <v>55</v>
      </c>
      <c r="I24" s="26">
        <f t="shared" ref="I24:I25" si="17">(H24/100)*G24</f>
        <v>63.112500000000004</v>
      </c>
      <c r="J24" s="26">
        <f t="shared" ref="J24:J25" si="18">$D24*I24</f>
        <v>545322.29399999999</v>
      </c>
      <c r="K24" s="34">
        <v>45</v>
      </c>
      <c r="L24" s="39">
        <f t="shared" ref="L24:L25" si="19">(K24/100)*$G24</f>
        <v>51.637500000000003</v>
      </c>
      <c r="M24" s="46">
        <f t="shared" ref="M24:M25" si="20">$D24*L24</f>
        <v>446172.78600000002</v>
      </c>
      <c r="N24" s="25"/>
      <c r="O24" s="26">
        <v>4</v>
      </c>
      <c r="P24" s="26">
        <f t="shared" ref="P24:P25" si="21">O24*$D24</f>
        <v>34561.919999999998</v>
      </c>
      <c r="Q24" s="27">
        <v>5</v>
      </c>
      <c r="R24" s="27">
        <f t="shared" ref="R24:R25" si="22">Q24*$D24</f>
        <v>43202.399999999994</v>
      </c>
      <c r="S24" s="37">
        <v>0.5</v>
      </c>
      <c r="T24" s="53">
        <f t="shared" ref="T24:T25" si="23">(S24/100)*$E24</f>
        <v>31.875</v>
      </c>
      <c r="U24" s="54">
        <f t="shared" ref="U24:U25" si="24">$D24*T24</f>
        <v>275415.3</v>
      </c>
      <c r="V24" s="34">
        <v>3</v>
      </c>
      <c r="W24" s="39">
        <f t="shared" ref="W24:W25" si="25">(V24/100)*$E24</f>
        <v>191.25</v>
      </c>
      <c r="X24" s="46">
        <f t="shared" ref="X24:X25" si="26">$D24*W24</f>
        <v>1652491.7999999998</v>
      </c>
    </row>
    <row r="25" spans="2:24" ht="47.25" x14ac:dyDescent="0.25">
      <c r="B25" s="55">
        <f>B24+1</f>
        <v>3</v>
      </c>
      <c r="C25" s="38" t="s">
        <v>38</v>
      </c>
      <c r="D25" s="49">
        <v>13120.27</v>
      </c>
      <c r="E25" s="28">
        <v>6375</v>
      </c>
      <c r="F25" s="28">
        <f t="shared" si="15"/>
        <v>83641721.25</v>
      </c>
      <c r="G25" s="28">
        <f t="shared" si="16"/>
        <v>114.75</v>
      </c>
      <c r="H25" s="50">
        <v>55</v>
      </c>
      <c r="I25" s="26">
        <f t="shared" si="17"/>
        <v>63.112500000000004</v>
      </c>
      <c r="J25" s="26">
        <f t="shared" si="18"/>
        <v>828053.0403750001</v>
      </c>
      <c r="K25" s="34">
        <v>45</v>
      </c>
      <c r="L25" s="39">
        <f t="shared" si="19"/>
        <v>51.637500000000003</v>
      </c>
      <c r="M25" s="46">
        <f t="shared" si="20"/>
        <v>677497.94212500006</v>
      </c>
      <c r="N25" s="25"/>
      <c r="O25" s="26">
        <v>4</v>
      </c>
      <c r="P25" s="26">
        <f t="shared" si="21"/>
        <v>52481.08</v>
      </c>
      <c r="Q25" s="27">
        <v>5</v>
      </c>
      <c r="R25" s="27">
        <f t="shared" si="22"/>
        <v>65601.350000000006</v>
      </c>
      <c r="S25" s="37">
        <v>0.5</v>
      </c>
      <c r="T25" s="53">
        <f t="shared" si="23"/>
        <v>31.875</v>
      </c>
      <c r="U25" s="54">
        <f t="shared" si="24"/>
        <v>418208.60625000001</v>
      </c>
      <c r="V25" s="34">
        <v>3</v>
      </c>
      <c r="W25" s="39">
        <f t="shared" si="25"/>
        <v>191.25</v>
      </c>
      <c r="X25" s="46">
        <f t="shared" si="26"/>
        <v>2509251.6375000002</v>
      </c>
    </row>
    <row r="26" spans="2:24" ht="15.75" x14ac:dyDescent="0.25">
      <c r="B26" s="101" t="s">
        <v>16</v>
      </c>
      <c r="C26" s="101"/>
      <c r="D26" s="49">
        <f>SUM(D23:D25)</f>
        <v>38772.25</v>
      </c>
      <c r="E26" s="51"/>
      <c r="F26" s="40">
        <f t="shared" ref="F26" si="27">SUM(F23:F25)</f>
        <v>247173093.75</v>
      </c>
      <c r="G26" s="52"/>
      <c r="H26" s="52"/>
      <c r="I26" s="52"/>
      <c r="J26" s="41">
        <f>SUM(J23:J25)</f>
        <v>2447013.6281250003</v>
      </c>
      <c r="K26" s="52"/>
      <c r="L26" s="52"/>
      <c r="M26" s="42">
        <f t="shared" ref="M26" si="28">SUM(M23:M25)</f>
        <v>2002102.0593750002</v>
      </c>
      <c r="N26" s="24"/>
      <c r="O26" s="52"/>
      <c r="P26" s="41">
        <f t="shared" ref="P26" si="29">SUM(P23:P25)</f>
        <v>155089</v>
      </c>
      <c r="Q26" s="52"/>
      <c r="R26" s="42">
        <f t="shared" ref="R26" si="30">SUM(R23:R25)</f>
        <v>193861.25</v>
      </c>
      <c r="S26" s="52"/>
      <c r="T26" s="52"/>
      <c r="U26" s="41">
        <f>SUM(U23:U25)</f>
        <v>1235865.46875</v>
      </c>
      <c r="V26" s="52"/>
      <c r="W26" s="52"/>
      <c r="X26" s="42">
        <f>SUM(X23:X25)</f>
        <v>7415192.8125</v>
      </c>
    </row>
    <row r="29" spans="2:24" ht="47.25" x14ac:dyDescent="0.25">
      <c r="C29" s="57" t="s">
        <v>38</v>
      </c>
      <c r="D29" s="44"/>
      <c r="E29" s="44" t="s">
        <v>70</v>
      </c>
      <c r="F29" s="58">
        <f>F25*0.55</f>
        <v>46002946.6875</v>
      </c>
      <c r="G29" s="44"/>
      <c r="H29" s="44" t="s">
        <v>56</v>
      </c>
      <c r="I29" s="58">
        <f>F25/100*1</f>
        <v>836417.21250000002</v>
      </c>
      <c r="J29" s="44"/>
      <c r="K29" s="44"/>
      <c r="L29" s="44"/>
      <c r="M29" s="44">
        <v>45000</v>
      </c>
      <c r="N29" s="59" t="s">
        <v>68</v>
      </c>
      <c r="O29" s="60">
        <f>F23</f>
        <v>108448312.5</v>
      </c>
      <c r="P29" s="59" t="s">
        <v>56</v>
      </c>
      <c r="Q29" s="61">
        <f>0.01*O29</f>
        <v>1084483.125</v>
      </c>
      <c r="R29" s="62" t="s">
        <v>69</v>
      </c>
      <c r="S29" s="63">
        <v>30241750</v>
      </c>
      <c r="T29" s="62" t="s">
        <v>56</v>
      </c>
      <c r="U29" s="64">
        <f>0.01*S29</f>
        <v>302417.5</v>
      </c>
    </row>
    <row r="30" spans="2:24" x14ac:dyDescent="0.25">
      <c r="C30" s="44"/>
      <c r="D30" s="44"/>
      <c r="E30" s="44"/>
      <c r="F30" s="58">
        <f>F25*0.45</f>
        <v>37638774.5625</v>
      </c>
      <c r="G30" s="44"/>
      <c r="H30" s="44" t="s">
        <v>57</v>
      </c>
      <c r="I30" s="58">
        <f>D25*9</f>
        <v>118082.43000000001</v>
      </c>
      <c r="J30" s="44"/>
      <c r="K30" s="44"/>
      <c r="L30" s="44"/>
      <c r="M30" s="44">
        <v>836420</v>
      </c>
      <c r="N30" s="59" t="s">
        <v>70</v>
      </c>
      <c r="O30" s="59"/>
      <c r="P30" s="59" t="s">
        <v>57</v>
      </c>
      <c r="Q30" s="61">
        <f>9*17011.5</f>
        <v>153103.5</v>
      </c>
      <c r="R30" s="62">
        <v>3500</v>
      </c>
      <c r="S30" s="62"/>
      <c r="T30" s="62" t="s">
        <v>57</v>
      </c>
      <c r="U30" s="64">
        <f>9*8640.5</f>
        <v>77764.5</v>
      </c>
    </row>
    <row r="31" spans="2:24" x14ac:dyDescent="0.25">
      <c r="C31" s="44"/>
      <c r="D31" s="44"/>
      <c r="E31" s="44"/>
      <c r="F31" s="44"/>
      <c r="G31" s="44"/>
      <c r="H31" s="44" t="s">
        <v>67</v>
      </c>
      <c r="I31" s="58">
        <f>I40*0.02</f>
        <v>1672834.425</v>
      </c>
      <c r="J31" s="44"/>
      <c r="K31" s="44"/>
      <c r="L31" s="44"/>
      <c r="M31" s="44">
        <v>118000</v>
      </c>
      <c r="N31" s="59"/>
      <c r="O31" s="59">
        <f>0.55*O29</f>
        <v>59646571.875000007</v>
      </c>
      <c r="P31" s="59" t="s">
        <v>67</v>
      </c>
      <c r="Q31" s="61">
        <f>0.02*O29</f>
        <v>2168966.25</v>
      </c>
      <c r="R31" s="62"/>
      <c r="S31" s="62"/>
      <c r="T31" s="62" t="s">
        <v>67</v>
      </c>
      <c r="U31" s="64">
        <f>0.02*S29</f>
        <v>604835</v>
      </c>
    </row>
    <row r="32" spans="2:24" x14ac:dyDescent="0.25">
      <c r="C32" s="44"/>
      <c r="D32" s="44"/>
      <c r="E32" s="44"/>
      <c r="F32" s="44"/>
      <c r="G32" s="44"/>
      <c r="H32" s="44" t="s">
        <v>58</v>
      </c>
      <c r="I32" s="58">
        <f>F25/100*0.5</f>
        <v>418208.60625000001</v>
      </c>
      <c r="J32" s="44"/>
      <c r="K32" s="44"/>
      <c r="L32" s="44"/>
      <c r="M32" s="44">
        <v>1672834</v>
      </c>
      <c r="N32" s="59"/>
      <c r="O32" s="59">
        <f>O29*0.45</f>
        <v>48801740.625</v>
      </c>
      <c r="P32" s="59" t="s">
        <v>58</v>
      </c>
      <c r="Q32" s="61">
        <f>0.005*O29</f>
        <v>542241.5625</v>
      </c>
      <c r="R32" s="62"/>
      <c r="S32" s="62"/>
      <c r="T32" s="62" t="s">
        <v>58</v>
      </c>
      <c r="U32" s="64">
        <f>0.005*S29</f>
        <v>151208.75</v>
      </c>
    </row>
    <row r="33" spans="3:21" x14ac:dyDescent="0.25">
      <c r="C33" s="44"/>
      <c r="D33" s="44"/>
      <c r="E33" s="44"/>
      <c r="F33" s="58">
        <f>SUM(F29:F32)</f>
        <v>83641721.25</v>
      </c>
      <c r="G33" s="44"/>
      <c r="H33" s="44" t="s">
        <v>59</v>
      </c>
      <c r="I33" s="58">
        <f>F25/100*0.7</f>
        <v>585492.04874999996</v>
      </c>
      <c r="J33" s="44"/>
      <c r="K33" s="44"/>
      <c r="L33" s="44"/>
      <c r="M33" s="44">
        <v>418208</v>
      </c>
      <c r="N33" s="59"/>
      <c r="O33" s="59">
        <f>SUM(O31:O32)</f>
        <v>108448312.5</v>
      </c>
      <c r="P33" s="59" t="s">
        <v>59</v>
      </c>
      <c r="Q33" s="61">
        <f>0.007*O29</f>
        <v>759138.1875</v>
      </c>
      <c r="R33" s="62"/>
      <c r="S33" s="62"/>
      <c r="T33" s="62" t="s">
        <v>59</v>
      </c>
      <c r="U33" s="64">
        <f>0.007*S29</f>
        <v>211692.25</v>
      </c>
    </row>
    <row r="34" spans="3:21" x14ac:dyDescent="0.25">
      <c r="C34" s="44"/>
      <c r="D34" s="44"/>
      <c r="E34" s="44"/>
      <c r="F34" s="44"/>
      <c r="G34" s="44"/>
      <c r="H34" s="44" t="s">
        <v>60</v>
      </c>
      <c r="I34" s="58">
        <f>F25/100*0.3</f>
        <v>250925.16375000001</v>
      </c>
      <c r="J34" s="44"/>
      <c r="K34" s="44"/>
      <c r="L34" s="44"/>
      <c r="M34" s="44">
        <v>46002947</v>
      </c>
      <c r="N34" s="59"/>
      <c r="O34" s="59"/>
      <c r="P34" s="59" t="s">
        <v>60</v>
      </c>
      <c r="Q34" s="61">
        <f>0.003*O29</f>
        <v>325344.9375</v>
      </c>
      <c r="R34" s="62"/>
      <c r="S34" s="62"/>
      <c r="T34" s="62" t="s">
        <v>60</v>
      </c>
      <c r="U34" s="64">
        <f>0.003*S29</f>
        <v>90725.25</v>
      </c>
    </row>
    <row r="35" spans="3:21" x14ac:dyDescent="0.25">
      <c r="C35" s="44"/>
      <c r="D35" s="44"/>
      <c r="E35" s="44"/>
      <c r="F35" s="44"/>
      <c r="G35" s="44"/>
      <c r="H35" s="44" t="s">
        <v>61</v>
      </c>
      <c r="I35" s="58">
        <f>F25/100*0.1</f>
        <v>83641.721250000002</v>
      </c>
      <c r="J35" s="44"/>
      <c r="K35" s="44"/>
      <c r="L35" s="44"/>
      <c r="M35" s="44">
        <v>37638775</v>
      </c>
      <c r="N35" s="59"/>
      <c r="O35" s="59"/>
      <c r="P35" s="59" t="s">
        <v>61</v>
      </c>
      <c r="Q35" s="61">
        <f>0.001*O29</f>
        <v>108448.3125</v>
      </c>
      <c r="R35" s="62"/>
      <c r="S35" s="62"/>
      <c r="T35" s="62" t="s">
        <v>61</v>
      </c>
      <c r="U35" s="64">
        <f>0.001*S29</f>
        <v>30241.75</v>
      </c>
    </row>
    <row r="36" spans="3:21" x14ac:dyDescent="0.25">
      <c r="C36" s="44"/>
      <c r="D36" s="44"/>
      <c r="E36" s="44"/>
      <c r="F36" s="44"/>
      <c r="G36" s="44"/>
      <c r="H36" s="44" t="s">
        <v>62</v>
      </c>
      <c r="I36" s="58">
        <v>83641.72</v>
      </c>
      <c r="J36" s="44"/>
      <c r="K36" s="44"/>
      <c r="L36" s="44"/>
      <c r="M36" s="44">
        <v>585492</v>
      </c>
      <c r="N36" s="59"/>
      <c r="O36" s="59"/>
      <c r="P36" s="59" t="s">
        <v>62</v>
      </c>
      <c r="Q36" s="61">
        <v>108448.31</v>
      </c>
      <c r="R36" s="62"/>
      <c r="S36" s="62"/>
      <c r="T36" s="62" t="s">
        <v>62</v>
      </c>
      <c r="U36" s="64">
        <f>U35</f>
        <v>30241.75</v>
      </c>
    </row>
    <row r="37" spans="3:21" x14ac:dyDescent="0.25">
      <c r="C37" s="44"/>
      <c r="D37" s="44"/>
      <c r="E37" s="44"/>
      <c r="F37" s="44"/>
      <c r="G37" s="44"/>
      <c r="H37" s="44" t="s">
        <v>63</v>
      </c>
      <c r="I37" s="58">
        <f>F25/100*3</f>
        <v>2509251.6375000002</v>
      </c>
      <c r="J37" s="44"/>
      <c r="K37" s="44"/>
      <c r="L37" s="44"/>
      <c r="M37" s="44">
        <v>250925</v>
      </c>
      <c r="N37" s="59"/>
      <c r="O37" s="59"/>
      <c r="P37" s="59" t="s">
        <v>63</v>
      </c>
      <c r="Q37" s="61">
        <f>0.03*O29</f>
        <v>3253449.375</v>
      </c>
      <c r="R37" s="62"/>
      <c r="S37" s="62"/>
      <c r="T37" s="62" t="s">
        <v>63</v>
      </c>
      <c r="U37" s="64">
        <f>0.03*S29</f>
        <v>907252.5</v>
      </c>
    </row>
    <row r="38" spans="3:21" x14ac:dyDescent="0.25">
      <c r="C38" s="44"/>
      <c r="D38" s="44"/>
      <c r="E38" s="44"/>
      <c r="F38" s="44"/>
      <c r="G38" s="44"/>
      <c r="H38" s="44" t="s">
        <v>64</v>
      </c>
      <c r="I38" s="58">
        <f>F25/100*2</f>
        <v>1672834.425</v>
      </c>
      <c r="J38" s="44"/>
      <c r="K38" s="44"/>
      <c r="L38" s="44"/>
      <c r="M38" s="44">
        <v>83650</v>
      </c>
      <c r="N38" s="59"/>
      <c r="O38" s="59"/>
      <c r="P38" s="59" t="s">
        <v>64</v>
      </c>
      <c r="Q38" s="61">
        <f>0.02*O29</f>
        <v>2168966.25</v>
      </c>
      <c r="R38" s="62"/>
      <c r="S38" s="62"/>
      <c r="T38" s="62" t="s">
        <v>64</v>
      </c>
      <c r="U38" s="64">
        <f>0.02*S29</f>
        <v>604835</v>
      </c>
    </row>
    <row r="39" spans="3:21" x14ac:dyDescent="0.25">
      <c r="C39" s="44"/>
      <c r="D39" s="44"/>
      <c r="E39" s="44"/>
      <c r="F39" s="44"/>
      <c r="G39" s="44"/>
      <c r="H39" s="44"/>
      <c r="I39" s="58">
        <v>45000</v>
      </c>
      <c r="J39" s="44" t="s">
        <v>65</v>
      </c>
      <c r="K39" s="44"/>
      <c r="L39" s="44"/>
      <c r="M39" s="44">
        <v>83650</v>
      </c>
      <c r="N39" s="59"/>
      <c r="O39" s="59"/>
      <c r="P39" s="59"/>
      <c r="Q39" s="61"/>
      <c r="R39" s="62"/>
      <c r="S39" s="62"/>
      <c r="T39" s="62"/>
      <c r="U39" s="64"/>
    </row>
    <row r="40" spans="3:21" x14ac:dyDescent="0.25">
      <c r="C40" s="44"/>
      <c r="D40" s="44"/>
      <c r="E40" s="44"/>
      <c r="F40" s="44"/>
      <c r="G40" s="44"/>
      <c r="H40" s="44"/>
      <c r="I40" s="58">
        <v>83641721.25</v>
      </c>
      <c r="J40" s="44" t="s">
        <v>66</v>
      </c>
      <c r="K40" s="44"/>
      <c r="L40" s="44"/>
      <c r="M40" s="44">
        <v>2510000</v>
      </c>
      <c r="N40" s="59"/>
      <c r="O40" s="59"/>
      <c r="P40" s="59"/>
      <c r="Q40" s="59"/>
    </row>
    <row r="41" spans="3:21" x14ac:dyDescent="0.25"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>
        <v>1600000</v>
      </c>
      <c r="N41" s="59"/>
      <c r="O41" s="59"/>
      <c r="P41" s="59"/>
      <c r="Q41" s="59"/>
    </row>
    <row r="42" spans="3:21" x14ac:dyDescent="0.25"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</row>
    <row r="43" spans="3:21" x14ac:dyDescent="0.25">
      <c r="C43" s="44"/>
      <c r="D43" s="44"/>
      <c r="E43" s="44"/>
      <c r="F43" s="44"/>
      <c r="G43" s="44"/>
      <c r="H43" s="44"/>
      <c r="I43" s="58">
        <f>SUM(I29:I42)</f>
        <v>91918050.640000001</v>
      </c>
      <c r="J43" s="44"/>
      <c r="K43" s="44"/>
      <c r="L43" s="44"/>
      <c r="M43" s="44">
        <f>SUM(M29:M42)</f>
        <v>91845901</v>
      </c>
    </row>
    <row r="44" spans="3:21" x14ac:dyDescent="0.25">
      <c r="I44">
        <v>119165902</v>
      </c>
    </row>
    <row r="45" spans="3:21" x14ac:dyDescent="0.25">
      <c r="I45">
        <v>33297966</v>
      </c>
    </row>
    <row r="47" spans="3:21" x14ac:dyDescent="0.25">
      <c r="I47" s="65">
        <f>SUM(I43:I46)</f>
        <v>244381918.63999999</v>
      </c>
      <c r="M47" s="65">
        <f>I40+O33+S29</f>
        <v>222331783.75</v>
      </c>
    </row>
  </sheetData>
  <mergeCells count="26">
    <mergeCell ref="V6:X6"/>
    <mergeCell ref="B6:B7"/>
    <mergeCell ref="C6:C7"/>
    <mergeCell ref="D6:D7"/>
    <mergeCell ref="E6:F6"/>
    <mergeCell ref="G6:G7"/>
    <mergeCell ref="K6:M6"/>
    <mergeCell ref="S6:U6"/>
    <mergeCell ref="H6:J6"/>
    <mergeCell ref="B11:C11"/>
    <mergeCell ref="I12:J12"/>
    <mergeCell ref="L12:M12"/>
    <mergeCell ref="O6:P6"/>
    <mergeCell ref="Q6:R6"/>
    <mergeCell ref="V21:X21"/>
    <mergeCell ref="B26:C26"/>
    <mergeCell ref="H21:J21"/>
    <mergeCell ref="K21:M21"/>
    <mergeCell ref="O21:P21"/>
    <mergeCell ref="Q21:R21"/>
    <mergeCell ref="S21:U21"/>
    <mergeCell ref="B21:B22"/>
    <mergeCell ref="C21:C22"/>
    <mergeCell ref="D21:D22"/>
    <mergeCell ref="E21:F21"/>
    <mergeCell ref="G21:G2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CF45A-0334-4A65-9CA3-58364F4DF54C}">
  <sheetPr>
    <pageSetUpPr fitToPage="1"/>
  </sheetPr>
  <dimension ref="C3:M56"/>
  <sheetViews>
    <sheetView tabSelected="1" topLeftCell="A28" workbookViewId="0">
      <selection activeCell="G56" sqref="G56"/>
    </sheetView>
  </sheetViews>
  <sheetFormatPr defaultRowHeight="15" x14ac:dyDescent="0.25"/>
  <cols>
    <col min="1" max="2" width="9.140625" style="66"/>
    <col min="3" max="3" width="6.28515625" style="66" customWidth="1"/>
    <col min="4" max="4" width="52.5703125" style="66" customWidth="1"/>
    <col min="5" max="5" width="9.7109375" style="66" customWidth="1"/>
    <col min="6" max="6" width="12.42578125" style="66" customWidth="1"/>
    <col min="7" max="7" width="15.140625" style="72" customWidth="1"/>
    <col min="8" max="8" width="9.140625" style="66"/>
    <col min="9" max="9" width="9.5703125" style="66" customWidth="1"/>
    <col min="10" max="10" width="3.5703125" style="66" customWidth="1"/>
    <col min="11" max="11" width="11.42578125" style="66" bestFit="1" customWidth="1"/>
    <col min="12" max="12" width="9.140625" style="66"/>
    <col min="13" max="13" width="10.140625" style="75" bestFit="1" customWidth="1"/>
    <col min="14" max="14" width="10.140625" style="66" bestFit="1" customWidth="1"/>
    <col min="15" max="16384" width="9.140625" style="66"/>
  </cols>
  <sheetData>
    <row r="3" spans="3:11" x14ac:dyDescent="0.25">
      <c r="C3" s="66" t="s">
        <v>113</v>
      </c>
    </row>
    <row r="5" spans="3:11" ht="30" x14ac:dyDescent="0.25">
      <c r="C5" s="68" t="s">
        <v>35</v>
      </c>
      <c r="D5" s="77" t="s">
        <v>71</v>
      </c>
      <c r="G5" s="78" t="s">
        <v>130</v>
      </c>
    </row>
    <row r="7" spans="3:11" x14ac:dyDescent="0.25">
      <c r="C7" s="67" t="s">
        <v>79</v>
      </c>
    </row>
    <row r="9" spans="3:11" x14ac:dyDescent="0.25">
      <c r="C9" s="66" t="s">
        <v>72</v>
      </c>
      <c r="D9" s="67" t="s">
        <v>103</v>
      </c>
      <c r="G9" s="72">
        <v>45000</v>
      </c>
      <c r="I9" s="66" t="s">
        <v>121</v>
      </c>
    </row>
    <row r="10" spans="3:11" ht="30" x14ac:dyDescent="0.25">
      <c r="D10" s="68" t="s">
        <v>101</v>
      </c>
    </row>
    <row r="11" spans="3:11" x14ac:dyDescent="0.25">
      <c r="C11" s="66" t="s">
        <v>73</v>
      </c>
      <c r="D11" s="67" t="s">
        <v>74</v>
      </c>
      <c r="G11" s="73">
        <v>10000</v>
      </c>
    </row>
    <row r="12" spans="3:11" ht="30" x14ac:dyDescent="0.25">
      <c r="D12" s="68" t="s">
        <v>102</v>
      </c>
    </row>
    <row r="13" spans="3:11" x14ac:dyDescent="0.25">
      <c r="C13" s="66" t="s">
        <v>77</v>
      </c>
      <c r="D13" s="67" t="s">
        <v>75</v>
      </c>
      <c r="G13" s="73">
        <v>10000</v>
      </c>
    </row>
    <row r="14" spans="3:11" ht="30" x14ac:dyDescent="0.25">
      <c r="D14" s="68" t="s">
        <v>104</v>
      </c>
    </row>
    <row r="15" spans="3:11" x14ac:dyDescent="0.25">
      <c r="C15" s="66" t="s">
        <v>78</v>
      </c>
      <c r="D15" s="67" t="s">
        <v>76</v>
      </c>
    </row>
    <row r="16" spans="3:11" ht="15.75" x14ac:dyDescent="0.25">
      <c r="D16" s="68" t="s">
        <v>116</v>
      </c>
      <c r="G16" s="72">
        <v>836420</v>
      </c>
      <c r="I16" s="66" t="s">
        <v>131</v>
      </c>
      <c r="K16" s="74"/>
    </row>
    <row r="17" spans="3:11" ht="15.75" x14ac:dyDescent="0.25">
      <c r="D17" s="68" t="s">
        <v>117</v>
      </c>
      <c r="G17" s="72">
        <v>118000</v>
      </c>
      <c r="I17" s="66" t="s">
        <v>122</v>
      </c>
      <c r="J17" s="66" t="s">
        <v>123</v>
      </c>
      <c r="K17" s="74" t="s">
        <v>124</v>
      </c>
    </row>
    <row r="18" spans="3:11" ht="30" x14ac:dyDescent="0.25">
      <c r="D18" s="68" t="s">
        <v>118</v>
      </c>
      <c r="G18" s="72">
        <v>1672834</v>
      </c>
      <c r="I18" s="66" t="s">
        <v>125</v>
      </c>
      <c r="J18" s="72"/>
    </row>
    <row r="19" spans="3:11" x14ac:dyDescent="0.25">
      <c r="D19" s="68"/>
    </row>
    <row r="20" spans="3:11" x14ac:dyDescent="0.25">
      <c r="C20" s="67" t="s">
        <v>80</v>
      </c>
    </row>
    <row r="22" spans="3:11" x14ac:dyDescent="0.25">
      <c r="C22" s="66" t="s">
        <v>83</v>
      </c>
      <c r="D22" s="67" t="s">
        <v>81</v>
      </c>
      <c r="G22" s="73">
        <v>10000</v>
      </c>
    </row>
    <row r="23" spans="3:11" ht="30" x14ac:dyDescent="0.25">
      <c r="D23" s="68" t="s">
        <v>105</v>
      </c>
    </row>
    <row r="24" spans="3:11" x14ac:dyDescent="0.25">
      <c r="C24" s="66" t="s">
        <v>84</v>
      </c>
      <c r="D24" s="67" t="s">
        <v>75</v>
      </c>
      <c r="G24" s="73">
        <v>10000</v>
      </c>
    </row>
    <row r="25" spans="3:11" ht="30" x14ac:dyDescent="0.25">
      <c r="D25" s="68" t="s">
        <v>106</v>
      </c>
    </row>
    <row r="26" spans="3:11" ht="15.75" x14ac:dyDescent="0.25">
      <c r="C26" s="66" t="s">
        <v>85</v>
      </c>
      <c r="D26" s="67" t="s">
        <v>82</v>
      </c>
      <c r="G26" s="72">
        <v>83641721.25</v>
      </c>
      <c r="I26" s="66" t="s">
        <v>70</v>
      </c>
      <c r="J26" s="66" t="s">
        <v>123</v>
      </c>
      <c r="K26" s="74" t="s">
        <v>124</v>
      </c>
    </row>
    <row r="27" spans="3:11" ht="30" x14ac:dyDescent="0.25">
      <c r="D27" s="68" t="s">
        <v>107</v>
      </c>
    </row>
    <row r="29" spans="3:11" x14ac:dyDescent="0.25">
      <c r="C29" s="67" t="s">
        <v>87</v>
      </c>
    </row>
    <row r="31" spans="3:11" x14ac:dyDescent="0.25">
      <c r="C31" s="66" t="s">
        <v>88</v>
      </c>
      <c r="D31" s="67" t="s">
        <v>86</v>
      </c>
      <c r="G31" s="73">
        <v>15000</v>
      </c>
    </row>
    <row r="32" spans="3:11" ht="30" x14ac:dyDescent="0.25">
      <c r="D32" s="68" t="s">
        <v>108</v>
      </c>
    </row>
    <row r="33" spans="3:11" x14ac:dyDescent="0.25">
      <c r="C33" s="66" t="s">
        <v>89</v>
      </c>
      <c r="D33" s="76" t="s">
        <v>112</v>
      </c>
      <c r="G33" s="72">
        <v>585492</v>
      </c>
      <c r="I33" s="66" t="s">
        <v>129</v>
      </c>
      <c r="K33" s="72">
        <f>G26*0.007</f>
        <v>585492.04874999996</v>
      </c>
    </row>
    <row r="34" spans="3:11" ht="45" x14ac:dyDescent="0.25">
      <c r="D34" s="68" t="s">
        <v>132</v>
      </c>
    </row>
    <row r="36" spans="3:11" x14ac:dyDescent="0.25">
      <c r="C36" s="67" t="s">
        <v>90</v>
      </c>
    </row>
    <row r="38" spans="3:11" x14ac:dyDescent="0.25">
      <c r="C38" s="66" t="s">
        <v>96</v>
      </c>
      <c r="D38" s="67" t="s">
        <v>91</v>
      </c>
      <c r="G38" s="73">
        <v>1500</v>
      </c>
    </row>
    <row r="39" spans="3:11" x14ac:dyDescent="0.25">
      <c r="D39" s="66" t="s">
        <v>91</v>
      </c>
    </row>
    <row r="40" spans="3:11" x14ac:dyDescent="0.25">
      <c r="C40" s="66" t="s">
        <v>97</v>
      </c>
      <c r="D40" s="67" t="s">
        <v>92</v>
      </c>
      <c r="G40" s="73">
        <v>1500</v>
      </c>
    </row>
    <row r="41" spans="3:11" x14ac:dyDescent="0.25">
      <c r="D41" s="66" t="s">
        <v>92</v>
      </c>
    </row>
    <row r="42" spans="3:11" x14ac:dyDescent="0.25">
      <c r="C42" s="66" t="s">
        <v>98</v>
      </c>
      <c r="D42" s="67" t="s">
        <v>93</v>
      </c>
      <c r="G42" s="73">
        <v>500</v>
      </c>
    </row>
    <row r="43" spans="3:11" x14ac:dyDescent="0.25">
      <c r="D43" s="66" t="s">
        <v>109</v>
      </c>
    </row>
    <row r="44" spans="3:11" x14ac:dyDescent="0.25">
      <c r="C44" s="66" t="s">
        <v>99</v>
      </c>
      <c r="D44" s="67" t="s">
        <v>94</v>
      </c>
      <c r="G44" s="73">
        <v>50000</v>
      </c>
    </row>
    <row r="45" spans="3:11" ht="30" x14ac:dyDescent="0.25">
      <c r="D45" s="68" t="s">
        <v>110</v>
      </c>
    </row>
    <row r="46" spans="3:11" x14ac:dyDescent="0.25">
      <c r="C46" s="66" t="s">
        <v>100</v>
      </c>
      <c r="D46" s="67" t="s">
        <v>95</v>
      </c>
      <c r="G46" s="73">
        <v>25000</v>
      </c>
    </row>
    <row r="47" spans="3:11" ht="30" x14ac:dyDescent="0.25">
      <c r="D47" s="68" t="s">
        <v>111</v>
      </c>
    </row>
    <row r="49" spans="3:9" x14ac:dyDescent="0.25">
      <c r="C49" s="70">
        <v>5</v>
      </c>
      <c r="D49" s="67" t="s">
        <v>114</v>
      </c>
      <c r="G49" s="72">
        <v>3345669</v>
      </c>
      <c r="I49" s="66" t="s">
        <v>126</v>
      </c>
    </row>
    <row r="51" spans="3:9" ht="43.5" x14ac:dyDescent="0.25">
      <c r="C51" s="71">
        <v>6</v>
      </c>
      <c r="D51" s="69" t="s">
        <v>115</v>
      </c>
    </row>
    <row r="52" spans="3:9" x14ac:dyDescent="0.25">
      <c r="D52" s="66" t="s">
        <v>119</v>
      </c>
      <c r="G52" s="72">
        <v>334567</v>
      </c>
      <c r="I52" s="66" t="s">
        <v>127</v>
      </c>
    </row>
    <row r="53" spans="3:9" x14ac:dyDescent="0.25">
      <c r="D53" s="66" t="s">
        <v>120</v>
      </c>
      <c r="G53" s="72">
        <v>418208</v>
      </c>
      <c r="I53" s="66" t="s">
        <v>128</v>
      </c>
    </row>
    <row r="56" spans="3:9" x14ac:dyDescent="0.25">
      <c r="G56" s="72">
        <f>SUM(G9:G55)</f>
        <v>91131411.25</v>
      </c>
    </row>
  </sheetData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UKUPNO BRP</vt:lpstr>
      <vt:lpstr>ISTOK BRP</vt:lpstr>
      <vt:lpstr>JUG BRP</vt:lpstr>
      <vt:lpstr>SJEVER BRP</vt:lpstr>
      <vt:lpstr>Cijena projekta - sažeto</vt:lpstr>
      <vt:lpstr>troškovnik sjever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Nikolina Vezilic</dc:creator>
  <cp:lastModifiedBy>Maruška Bulić</cp:lastModifiedBy>
  <cp:lastPrinted>2021-04-23T09:53:47Z</cp:lastPrinted>
  <dcterms:created xsi:type="dcterms:W3CDTF">2020-11-09T13:34:12Z</dcterms:created>
  <dcterms:modified xsi:type="dcterms:W3CDTF">2021-04-23T11:09:37Z</dcterms:modified>
</cp:coreProperties>
</file>